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19200" windowHeight="7032" tabRatio="500"/>
  </bookViews>
  <sheets>
    <sheet name="Sheet2" sheetId="1" r:id="rId1"/>
  </sheets>
  <definedNames>
    <definedName name="equil" localSheetId="0">Sheet2!$I$2:$J$15</definedName>
    <definedName name="equil_curve" localSheetId="0">Sheet2!$C$2:$D$15</definedName>
    <definedName name="equil_x">Sheet2!$I$2:$I$15</definedName>
    <definedName name="equil_y">Sheet2!$J$2:$J$15</definedName>
    <definedName name="s_line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29" i="1" l="1"/>
  <c r="F129" i="1"/>
  <c r="G128" i="1"/>
  <c r="F128" i="1"/>
  <c r="F127" i="1"/>
  <c r="G127" i="1" s="1"/>
  <c r="G126" i="1"/>
  <c r="F126" i="1"/>
  <c r="G125" i="1"/>
  <c r="F125" i="1"/>
  <c r="G124" i="1"/>
  <c r="F124" i="1"/>
  <c r="F123" i="1"/>
  <c r="G123" i="1" s="1"/>
  <c r="F122" i="1"/>
  <c r="G122" i="1" s="1"/>
  <c r="G121" i="1"/>
  <c r="F121" i="1"/>
  <c r="G120" i="1"/>
  <c r="F120" i="1"/>
  <c r="F119" i="1"/>
  <c r="G119" i="1" s="1"/>
  <c r="F118" i="1"/>
  <c r="G118" i="1" s="1"/>
  <c r="G117" i="1"/>
  <c r="F117" i="1"/>
  <c r="F116" i="1"/>
  <c r="G116" i="1" s="1"/>
  <c r="F115" i="1"/>
  <c r="G115" i="1" s="1"/>
  <c r="F114" i="1"/>
  <c r="G114" i="1" s="1"/>
  <c r="G113" i="1"/>
  <c r="F113" i="1"/>
  <c r="F112" i="1"/>
  <c r="G112" i="1" s="1"/>
  <c r="F111" i="1"/>
  <c r="G111" i="1" s="1"/>
  <c r="F110" i="1"/>
  <c r="G110" i="1" s="1"/>
  <c r="G109" i="1"/>
  <c r="F109" i="1"/>
  <c r="F108" i="1"/>
  <c r="G108" i="1" s="1"/>
  <c r="F107" i="1"/>
  <c r="G107" i="1" s="1"/>
  <c r="F106" i="1"/>
  <c r="G106" i="1" s="1"/>
  <c r="G105" i="1"/>
  <c r="F105" i="1"/>
  <c r="F104" i="1"/>
  <c r="G104" i="1" s="1"/>
  <c r="F103" i="1"/>
  <c r="G103" i="1" s="1"/>
  <c r="F102" i="1"/>
  <c r="G102" i="1" s="1"/>
  <c r="G101" i="1"/>
  <c r="F101" i="1"/>
  <c r="F100" i="1"/>
  <c r="G100" i="1" s="1"/>
  <c r="F99" i="1"/>
  <c r="G99" i="1" s="1"/>
  <c r="F98" i="1"/>
  <c r="G98" i="1" s="1"/>
  <c r="G97" i="1"/>
  <c r="F97" i="1"/>
  <c r="F96" i="1"/>
  <c r="G96" i="1" s="1"/>
  <c r="F95" i="1"/>
  <c r="G95" i="1" s="1"/>
  <c r="F94" i="1"/>
  <c r="G94" i="1" s="1"/>
  <c r="G93" i="1"/>
  <c r="F93" i="1"/>
  <c r="F92" i="1"/>
  <c r="G92" i="1" s="1"/>
  <c r="F91" i="1"/>
  <c r="G91" i="1" s="1"/>
  <c r="F90" i="1"/>
  <c r="G90" i="1" s="1"/>
  <c r="G89" i="1"/>
  <c r="F89" i="1"/>
  <c r="F88" i="1"/>
  <c r="G88" i="1" s="1"/>
  <c r="F87" i="1"/>
  <c r="G87" i="1" s="1"/>
  <c r="F86" i="1"/>
  <c r="G86" i="1" s="1"/>
  <c r="G85" i="1"/>
  <c r="F85" i="1"/>
  <c r="F84" i="1"/>
  <c r="G84" i="1" s="1"/>
  <c r="F83" i="1"/>
  <c r="G83" i="1" s="1"/>
  <c r="F82" i="1"/>
  <c r="G82" i="1" s="1"/>
  <c r="G81" i="1"/>
  <c r="F81" i="1"/>
  <c r="F80" i="1"/>
  <c r="G80" i="1" s="1"/>
  <c r="F79" i="1"/>
  <c r="G79" i="1" s="1"/>
  <c r="F78" i="1"/>
  <c r="G78" i="1" s="1"/>
  <c r="G77" i="1"/>
  <c r="F77" i="1"/>
  <c r="F76" i="1"/>
  <c r="G76" i="1" s="1"/>
  <c r="F75" i="1"/>
  <c r="G75" i="1" s="1"/>
  <c r="F74" i="1"/>
  <c r="G74" i="1" s="1"/>
  <c r="G73" i="1"/>
  <c r="F73" i="1"/>
  <c r="F72" i="1"/>
  <c r="G72" i="1" s="1"/>
  <c r="F71" i="1"/>
  <c r="G71" i="1" s="1"/>
  <c r="F70" i="1"/>
  <c r="G70" i="1" s="1"/>
  <c r="G69" i="1"/>
  <c r="F69" i="1"/>
  <c r="F68" i="1"/>
  <c r="G68" i="1" s="1"/>
  <c r="F67" i="1"/>
  <c r="G67" i="1" s="1"/>
  <c r="F66" i="1"/>
  <c r="G66" i="1" s="1"/>
  <c r="G65" i="1"/>
  <c r="F65" i="1"/>
  <c r="F64" i="1"/>
  <c r="G64" i="1" s="1"/>
  <c r="F63" i="1"/>
  <c r="G63" i="1" s="1"/>
  <c r="F62" i="1"/>
  <c r="G62" i="1" s="1"/>
  <c r="G61" i="1"/>
  <c r="F61" i="1"/>
  <c r="F60" i="1"/>
  <c r="G60" i="1" s="1"/>
  <c r="F59" i="1"/>
  <c r="G59" i="1" s="1"/>
  <c r="F58" i="1"/>
  <c r="G58" i="1" s="1"/>
  <c r="G57" i="1"/>
  <c r="F57" i="1"/>
  <c r="F56" i="1"/>
  <c r="G56" i="1" s="1"/>
  <c r="F55" i="1"/>
  <c r="G55" i="1" s="1"/>
  <c r="F54" i="1"/>
  <c r="G54" i="1" s="1"/>
  <c r="G53" i="1"/>
  <c r="F53" i="1"/>
  <c r="F52" i="1"/>
  <c r="G52" i="1" s="1"/>
  <c r="F51" i="1"/>
  <c r="G51" i="1" s="1"/>
  <c r="G50" i="1"/>
  <c r="F50" i="1"/>
  <c r="F49" i="1"/>
  <c r="G49" i="1" s="1"/>
  <c r="G48" i="1"/>
  <c r="F48" i="1"/>
  <c r="G47" i="1"/>
  <c r="F47" i="1"/>
  <c r="F46" i="1"/>
  <c r="G46" i="1" s="1"/>
  <c r="F45" i="1"/>
  <c r="G45" i="1" s="1"/>
  <c r="G44" i="1"/>
  <c r="F44" i="1"/>
  <c r="G43" i="1"/>
  <c r="F43" i="1"/>
  <c r="F42" i="1"/>
  <c r="G42" i="1" s="1"/>
  <c r="F41" i="1"/>
  <c r="G41" i="1" s="1"/>
  <c r="F40" i="1"/>
  <c r="G40" i="1" s="1"/>
  <c r="G39" i="1"/>
  <c r="F39" i="1"/>
  <c r="G38" i="1"/>
  <c r="F38" i="1"/>
  <c r="G37" i="1"/>
  <c r="F37" i="1"/>
  <c r="F36" i="1"/>
  <c r="G36" i="1" s="1"/>
  <c r="F35" i="1"/>
  <c r="G35" i="1" s="1"/>
  <c r="F34" i="1"/>
  <c r="G34" i="1" s="1"/>
  <c r="G33" i="1"/>
  <c r="F33" i="1"/>
  <c r="F32" i="1"/>
  <c r="G32" i="1" s="1"/>
  <c r="R31" i="1"/>
  <c r="F31" i="1"/>
  <c r="G31" i="1" s="1"/>
  <c r="G30" i="1"/>
  <c r="F30" i="1"/>
  <c r="B18" i="1"/>
  <c r="F13" i="1"/>
  <c r="G13" i="1" s="1"/>
  <c r="F12" i="1"/>
  <c r="G12" i="1" s="1"/>
  <c r="B12" i="1"/>
  <c r="B11" i="1"/>
  <c r="B10" i="1"/>
  <c r="F9" i="1"/>
  <c r="G9" i="1" s="1"/>
  <c r="F7" i="1"/>
  <c r="G7" i="1" s="1"/>
  <c r="F5" i="1"/>
  <c r="G5" i="1" s="1"/>
  <c r="M3" i="1"/>
  <c r="N3" i="1" s="1"/>
  <c r="K3" i="1"/>
  <c r="L3" i="1" s="1"/>
  <c r="F3" i="1"/>
  <c r="F10" i="1" s="1"/>
  <c r="G10" i="1" s="1"/>
  <c r="T2" i="1"/>
  <c r="S2" i="1"/>
  <c r="R2" i="1"/>
  <c r="Q2" i="1"/>
  <c r="O2" i="1"/>
  <c r="M2" i="1"/>
  <c r="K2" i="1"/>
  <c r="P2" i="1" l="1"/>
  <c r="H31" i="1"/>
  <c r="H44" i="1"/>
  <c r="H80" i="1"/>
  <c r="H97" i="1"/>
  <c r="H85" i="1"/>
  <c r="H127" i="1"/>
  <c r="H119" i="1"/>
  <c r="H111" i="1"/>
  <c r="H103" i="1"/>
  <c r="H95" i="1"/>
  <c r="H87" i="1"/>
  <c r="H79" i="1"/>
  <c r="H71" i="1"/>
  <c r="H63" i="1"/>
  <c r="H55" i="1"/>
  <c r="I55" i="1" s="1"/>
  <c r="I129" i="1"/>
  <c r="H122" i="1"/>
  <c r="I122" i="1" s="1"/>
  <c r="I121" i="1"/>
  <c r="H114" i="1"/>
  <c r="I113" i="1"/>
  <c r="H106" i="1"/>
  <c r="H98" i="1"/>
  <c r="I97" i="1"/>
  <c r="H90" i="1"/>
  <c r="H82" i="1"/>
  <c r="I82" i="1" s="1"/>
  <c r="I81" i="1"/>
  <c r="H74" i="1"/>
  <c r="H66" i="1"/>
  <c r="I66" i="1" s="1"/>
  <c r="H58" i="1"/>
  <c r="H129" i="1"/>
  <c r="H128" i="1"/>
  <c r="I128" i="1" s="1"/>
  <c r="H125" i="1"/>
  <c r="H124" i="1"/>
  <c r="I124" i="1" s="1"/>
  <c r="H53" i="1"/>
  <c r="I53" i="1" s="1"/>
  <c r="H49" i="1"/>
  <c r="I41" i="1"/>
  <c r="B17" i="1"/>
  <c r="H84" i="1" s="1"/>
  <c r="F11" i="1"/>
  <c r="G11" i="1" s="1"/>
  <c r="F14" i="1"/>
  <c r="G14" i="1" s="1"/>
  <c r="H35" i="1"/>
  <c r="H36" i="1"/>
  <c r="H46" i="1"/>
  <c r="H47" i="1"/>
  <c r="H56" i="1"/>
  <c r="H57" i="1"/>
  <c r="H72" i="1"/>
  <c r="H73" i="1"/>
  <c r="H88" i="1"/>
  <c r="H89" i="1"/>
  <c r="H104" i="1"/>
  <c r="H105" i="1"/>
  <c r="H121" i="1"/>
  <c r="H30" i="1"/>
  <c r="H64" i="1"/>
  <c r="H81" i="1"/>
  <c r="H96" i="1"/>
  <c r="I96" i="1" s="1"/>
  <c r="H113" i="1"/>
  <c r="H68" i="1"/>
  <c r="H100" i="1"/>
  <c r="H101" i="1"/>
  <c r="I101" i="1" s="1"/>
  <c r="H116" i="1"/>
  <c r="I116" i="1" s="1"/>
  <c r="H117" i="1"/>
  <c r="I117" i="1" s="1"/>
  <c r="F4" i="1"/>
  <c r="G4" i="1" s="1"/>
  <c r="F6" i="1"/>
  <c r="G6" i="1" s="1"/>
  <c r="F8" i="1"/>
  <c r="G8" i="1" s="1"/>
  <c r="H42" i="1"/>
  <c r="G3" i="1"/>
  <c r="H34" i="1"/>
  <c r="I35" i="1"/>
  <c r="H40" i="1"/>
  <c r="H41" i="1"/>
  <c r="I42" i="1"/>
  <c r="I46" i="1"/>
  <c r="I47" i="1"/>
  <c r="H60" i="1"/>
  <c r="H61" i="1"/>
  <c r="I61" i="1" s="1"/>
  <c r="H76" i="1"/>
  <c r="H77" i="1"/>
  <c r="H92" i="1"/>
  <c r="H93" i="1"/>
  <c r="I93" i="1" s="1"/>
  <c r="H108" i="1"/>
  <c r="H109" i="1"/>
  <c r="H120" i="1"/>
  <c r="I120" i="1" s="1"/>
  <c r="I84" i="1" l="1"/>
  <c r="J84" i="1" s="1"/>
  <c r="J34" i="1"/>
  <c r="J100" i="1"/>
  <c r="J77" i="1"/>
  <c r="J121" i="1"/>
  <c r="J36" i="1"/>
  <c r="I36" i="1"/>
  <c r="I44" i="1"/>
  <c r="J44" i="1" s="1"/>
  <c r="J114" i="1"/>
  <c r="I98" i="1"/>
  <c r="J98" i="1" s="1"/>
  <c r="I114" i="1"/>
  <c r="I80" i="1"/>
  <c r="J80" i="1" s="1"/>
  <c r="J108" i="1"/>
  <c r="I108" i="1"/>
  <c r="I92" i="1"/>
  <c r="J92" i="1" s="1"/>
  <c r="J76" i="1"/>
  <c r="I76" i="1"/>
  <c r="I60" i="1"/>
  <c r="J60" i="1" s="1"/>
  <c r="J40" i="1"/>
  <c r="I40" i="1"/>
  <c r="J42" i="1"/>
  <c r="J64" i="1"/>
  <c r="I64" i="1"/>
  <c r="I100" i="1"/>
  <c r="I68" i="1"/>
  <c r="J68" i="1" s="1"/>
  <c r="J46" i="1"/>
  <c r="J35" i="1"/>
  <c r="H37" i="1"/>
  <c r="H45" i="1"/>
  <c r="I77" i="1"/>
  <c r="I85" i="1"/>
  <c r="J85" i="1" s="1"/>
  <c r="I109" i="1"/>
  <c r="J109" i="1" s="1"/>
  <c r="I125" i="1"/>
  <c r="J125" i="1" s="1"/>
  <c r="H51" i="1"/>
  <c r="H59" i="1"/>
  <c r="H67" i="1"/>
  <c r="H75" i="1"/>
  <c r="H83" i="1"/>
  <c r="H91" i="1"/>
  <c r="H99" i="1"/>
  <c r="H107" i="1"/>
  <c r="H115" i="1"/>
  <c r="H123" i="1"/>
  <c r="H69" i="1"/>
  <c r="H65" i="1"/>
  <c r="H38" i="1"/>
  <c r="H50" i="1"/>
  <c r="J116" i="1"/>
  <c r="J96" i="1"/>
  <c r="J30" i="1"/>
  <c r="M30" i="1" s="1"/>
  <c r="I30" i="1"/>
  <c r="J105" i="1"/>
  <c r="J57" i="1"/>
  <c r="I34" i="1"/>
  <c r="I49" i="1"/>
  <c r="J49" i="1" s="1"/>
  <c r="J124" i="1"/>
  <c r="J128" i="1"/>
  <c r="I57" i="1"/>
  <c r="I73" i="1"/>
  <c r="J73" i="1" s="1"/>
  <c r="I89" i="1"/>
  <c r="J89" i="1" s="1"/>
  <c r="I105" i="1"/>
  <c r="J55" i="1"/>
  <c r="J71" i="1"/>
  <c r="I71" i="1"/>
  <c r="J87" i="1"/>
  <c r="I87" i="1"/>
  <c r="I103" i="1"/>
  <c r="J103" i="1" s="1"/>
  <c r="I119" i="1"/>
  <c r="J119" i="1" s="1"/>
  <c r="J127" i="1"/>
  <c r="J97" i="1"/>
  <c r="J93" i="1"/>
  <c r="J61" i="1"/>
  <c r="J41" i="1"/>
  <c r="J81" i="1"/>
  <c r="J47" i="1"/>
  <c r="J53" i="1"/>
  <c r="J129" i="1"/>
  <c r="J66" i="1"/>
  <c r="J82" i="1"/>
  <c r="J90" i="1"/>
  <c r="J122" i="1"/>
  <c r="I58" i="1"/>
  <c r="J58" i="1" s="1"/>
  <c r="I74" i="1"/>
  <c r="J74" i="1" s="1"/>
  <c r="I90" i="1"/>
  <c r="I106" i="1"/>
  <c r="J106" i="1" s="1"/>
  <c r="J31" i="1"/>
  <c r="J120" i="1"/>
  <c r="I104" i="1"/>
  <c r="J104" i="1" s="1"/>
  <c r="I88" i="1"/>
  <c r="J88" i="1" s="1"/>
  <c r="I72" i="1"/>
  <c r="J72" i="1" s="1"/>
  <c r="I56" i="1"/>
  <c r="J56" i="1" s="1"/>
  <c r="J117" i="1"/>
  <c r="J101" i="1"/>
  <c r="J113" i="1"/>
  <c r="I111" i="1"/>
  <c r="J111" i="1" s="1"/>
  <c r="I95" i="1"/>
  <c r="J95" i="1" s="1"/>
  <c r="I79" i="1"/>
  <c r="J79" i="1" s="1"/>
  <c r="I63" i="1"/>
  <c r="J63" i="1" s="1"/>
  <c r="H52" i="1"/>
  <c r="H43" i="1"/>
  <c r="I31" i="1"/>
  <c r="H32" i="1"/>
  <c r="H39" i="1"/>
  <c r="I127" i="1"/>
  <c r="H54" i="1"/>
  <c r="H62" i="1"/>
  <c r="H70" i="1"/>
  <c r="H78" i="1"/>
  <c r="H86" i="1"/>
  <c r="H94" i="1"/>
  <c r="H102" i="1"/>
  <c r="H110" i="1"/>
  <c r="H118" i="1"/>
  <c r="H126" i="1"/>
  <c r="H112" i="1"/>
  <c r="H33" i="1"/>
  <c r="H48" i="1"/>
  <c r="I126" i="1" l="1"/>
  <c r="J126" i="1" s="1"/>
  <c r="I32" i="1"/>
  <c r="J32" i="1" s="1"/>
  <c r="I107" i="1"/>
  <c r="J107" i="1" s="1"/>
  <c r="I75" i="1"/>
  <c r="J75" i="1" s="1"/>
  <c r="I48" i="1"/>
  <c r="J48" i="1" s="1"/>
  <c r="I118" i="1"/>
  <c r="J118" i="1" s="1"/>
  <c r="I86" i="1"/>
  <c r="J86" i="1" s="1"/>
  <c r="I54" i="1"/>
  <c r="J54" i="1" s="1"/>
  <c r="I69" i="1"/>
  <c r="J69" i="1" s="1"/>
  <c r="I99" i="1"/>
  <c r="J99" i="1" s="1"/>
  <c r="I67" i="1"/>
  <c r="J67" i="1" s="1"/>
  <c r="I37" i="1"/>
  <c r="J37" i="1"/>
  <c r="I33" i="1"/>
  <c r="J33" i="1" s="1"/>
  <c r="I110" i="1"/>
  <c r="J110" i="1" s="1"/>
  <c r="I78" i="1"/>
  <c r="J78" i="1" s="1"/>
  <c r="I43" i="1"/>
  <c r="J43" i="1" s="1"/>
  <c r="I50" i="1"/>
  <c r="J50" i="1" s="1"/>
  <c r="I123" i="1"/>
  <c r="J123" i="1" s="1"/>
  <c r="I91" i="1"/>
  <c r="J91" i="1" s="1"/>
  <c r="I59" i="1"/>
  <c r="J59" i="1" s="1"/>
  <c r="I94" i="1"/>
  <c r="J94" i="1" s="1"/>
  <c r="I62" i="1"/>
  <c r="J62" i="1" s="1"/>
  <c r="I65" i="1"/>
  <c r="J65" i="1" s="1"/>
  <c r="I45" i="1"/>
  <c r="J45" i="1" s="1"/>
  <c r="I112" i="1"/>
  <c r="J112" i="1" s="1"/>
  <c r="I102" i="1"/>
  <c r="J102" i="1" s="1"/>
  <c r="I70" i="1"/>
  <c r="J70" i="1" s="1"/>
  <c r="I39" i="1"/>
  <c r="J39" i="1"/>
  <c r="I52" i="1"/>
  <c r="J52" i="1" s="1"/>
  <c r="L30" i="1"/>
  <c r="B13" i="1" s="1"/>
  <c r="B14" i="1" s="1"/>
  <c r="I38" i="1"/>
  <c r="J38" i="1" s="1"/>
  <c r="I115" i="1"/>
  <c r="J115" i="1" s="1"/>
  <c r="I83" i="1"/>
  <c r="J83" i="1" s="1"/>
  <c r="I51" i="1"/>
  <c r="J51" i="1" s="1"/>
  <c r="B24" i="1" l="1"/>
  <c r="B25" i="1" s="1"/>
  <c r="B42" i="1" s="1"/>
  <c r="B21" i="1"/>
  <c r="B22" i="1"/>
  <c r="B28" i="1" s="1"/>
  <c r="Q3" i="1" l="1"/>
  <c r="O3" i="1"/>
  <c r="B29" i="1"/>
  <c r="S3" i="1"/>
  <c r="Q32" i="1"/>
  <c r="R3" i="1" l="1"/>
  <c r="B33" i="1"/>
  <c r="B35" i="1" s="1"/>
  <c r="B32" i="1"/>
  <c r="T3" i="1"/>
  <c r="P3" i="1"/>
  <c r="R32" i="1"/>
  <c r="P32" i="1"/>
  <c r="B36" i="1" l="1"/>
  <c r="B41" i="1" s="1"/>
  <c r="Q33" i="1"/>
  <c r="S32" i="1"/>
  <c r="R33" i="1" l="1"/>
  <c r="P33" i="1"/>
  <c r="S33" i="1" l="1"/>
  <c r="Q34" i="1"/>
  <c r="R34" i="1" l="1"/>
  <c r="P34" i="1"/>
  <c r="S34" i="1" l="1"/>
  <c r="Q35" i="1"/>
  <c r="P35" i="1" l="1"/>
  <c r="R35" i="1"/>
  <c r="S35" i="1" l="1"/>
  <c r="Q36" i="1"/>
  <c r="R36" i="1" l="1"/>
  <c r="P36" i="1"/>
  <c r="Q37" i="1" l="1"/>
  <c r="S36" i="1"/>
  <c r="P37" i="1" l="1"/>
  <c r="R37" i="1"/>
  <c r="S37" i="1" l="1"/>
  <c r="Q38" i="1"/>
  <c r="P38" i="1" l="1"/>
  <c r="R38" i="1"/>
  <c r="Q39" i="1" l="1"/>
  <c r="S38" i="1"/>
  <c r="P39" i="1" l="1"/>
  <c r="R39" i="1"/>
  <c r="Q40" i="1" l="1"/>
  <c r="S39" i="1"/>
  <c r="P40" i="1" l="1"/>
  <c r="R40" i="1"/>
  <c r="S40" i="1" l="1"/>
  <c r="Q41" i="1"/>
  <c r="R41" i="1" l="1"/>
  <c r="P41" i="1"/>
  <c r="S41" i="1" l="1"/>
  <c r="Q42" i="1"/>
  <c r="P42" i="1" l="1"/>
  <c r="R42" i="1"/>
  <c r="S42" i="1" l="1"/>
  <c r="Q43" i="1"/>
  <c r="P43" i="1" l="1"/>
  <c r="R43" i="1"/>
  <c r="S43" i="1" l="1"/>
  <c r="Q44" i="1"/>
  <c r="R44" i="1" l="1"/>
  <c r="P44" i="1"/>
  <c r="Q45" i="1" l="1"/>
  <c r="S44" i="1"/>
  <c r="R45" i="1" l="1"/>
  <c r="P45" i="1"/>
  <c r="Q46" i="1" l="1"/>
  <c r="S45" i="1"/>
  <c r="P46" i="1" l="1"/>
  <c r="R46" i="1"/>
  <c r="S46" i="1" l="1"/>
  <c r="Q47" i="1"/>
  <c r="R47" i="1" l="1"/>
  <c r="P47" i="1"/>
  <c r="S47" i="1" l="1"/>
  <c r="Q48" i="1"/>
  <c r="R48" i="1" l="1"/>
  <c r="P48" i="1"/>
  <c r="Q49" i="1" l="1"/>
  <c r="S48" i="1"/>
  <c r="R49" i="1" l="1"/>
  <c r="P49" i="1"/>
  <c r="S49" i="1" l="1"/>
  <c r="Q50" i="1"/>
  <c r="R50" i="1" l="1"/>
  <c r="P50" i="1"/>
  <c r="Q51" i="1" l="1"/>
  <c r="S50" i="1"/>
  <c r="P51" i="1" l="1"/>
  <c r="R51" i="1"/>
  <c r="Q52" i="1" l="1"/>
  <c r="S51" i="1"/>
  <c r="P52" i="1" l="1"/>
  <c r="R52" i="1"/>
  <c r="S52" i="1" l="1"/>
  <c r="Q53" i="1"/>
  <c r="R53" i="1" l="1"/>
  <c r="P53" i="1"/>
  <c r="S53" i="1" l="1"/>
  <c r="Q54" i="1"/>
  <c r="R54" i="1" l="1"/>
  <c r="P54" i="1"/>
  <c r="Q55" i="1" l="1"/>
  <c r="S54" i="1"/>
  <c r="P55" i="1" l="1"/>
  <c r="R55" i="1"/>
  <c r="B38" i="1"/>
  <c r="S55" i="1" l="1"/>
  <c r="B39" i="1"/>
</calcChain>
</file>

<file path=xl/sharedStrings.xml><?xml version="1.0" encoding="utf-8"?>
<sst xmlns="http://schemas.openxmlformats.org/spreadsheetml/2006/main" count="74" uniqueCount="66">
  <si>
    <t>Given</t>
  </si>
  <si>
    <t>Units</t>
  </si>
  <si>
    <t>x</t>
  </si>
  <si>
    <t>y</t>
  </si>
  <si>
    <t>Boiling Temperature (T), °C</t>
  </si>
  <si>
    <r>
      <rPr>
        <b/>
        <sz val="10"/>
        <rFont val="Arial"/>
        <family val="2"/>
        <charset val="1"/>
      </rPr>
      <t>Mol Fraction Acetone in Liquid, x</t>
    </r>
    <r>
      <rPr>
        <b/>
        <vertAlign val="subscript"/>
        <sz val="10"/>
        <rFont val="Arial"/>
        <family val="2"/>
        <charset val="1"/>
      </rPr>
      <t>A</t>
    </r>
  </si>
  <si>
    <r>
      <rPr>
        <b/>
        <sz val="10"/>
        <rFont val="Arial"/>
        <family val="2"/>
        <charset val="1"/>
      </rPr>
      <t>Mol Fraction Acetone in Vapor, y</t>
    </r>
    <r>
      <rPr>
        <b/>
        <vertAlign val="subscript"/>
        <sz val="10"/>
        <rFont val="Arial"/>
        <family val="2"/>
        <charset val="1"/>
      </rPr>
      <t>A</t>
    </r>
  </si>
  <si>
    <t>Distillate</t>
  </si>
  <si>
    <t>Bottoms</t>
  </si>
  <si>
    <t>Feed Line</t>
  </si>
  <si>
    <t>Rectifying Line</t>
  </si>
  <si>
    <t>Stripping Line</t>
  </si>
  <si>
    <t>Feed Flow Rate (F)</t>
  </si>
  <si>
    <r>
      <rPr>
        <i/>
        <sz val="10"/>
        <rFont val="Arial"/>
        <family val="2"/>
        <charset val="1"/>
      </rPr>
      <t>kmol h</t>
    </r>
    <r>
      <rPr>
        <i/>
        <vertAlign val="superscript"/>
        <sz val="10"/>
        <rFont val="Arial"/>
        <family val="2"/>
        <charset val="1"/>
      </rPr>
      <t>-1</t>
    </r>
  </si>
  <si>
    <r>
      <rPr>
        <b/>
        <sz val="10"/>
        <rFont val="Arial"/>
        <family val="2"/>
        <charset val="1"/>
      </rPr>
      <t>Feed Composition (x</t>
    </r>
    <r>
      <rPr>
        <b/>
        <vertAlign val="subscript"/>
        <sz val="10"/>
        <rFont val="Arial"/>
        <family val="2"/>
        <charset val="1"/>
      </rPr>
      <t>F</t>
    </r>
    <r>
      <rPr>
        <b/>
        <sz val="10"/>
        <rFont val="Arial"/>
        <family val="2"/>
        <charset val="1"/>
      </rPr>
      <t>)</t>
    </r>
  </si>
  <si>
    <r>
      <rPr>
        <b/>
        <sz val="10"/>
        <rFont val="Arial"/>
        <family val="2"/>
        <charset val="1"/>
      </rPr>
      <t>Concentration of the most volatile in the distillate (x</t>
    </r>
    <r>
      <rPr>
        <b/>
        <vertAlign val="subscript"/>
        <sz val="10"/>
        <rFont val="Arial"/>
        <family val="2"/>
        <charset val="1"/>
      </rPr>
      <t>D</t>
    </r>
    <r>
      <rPr>
        <b/>
        <sz val="10"/>
        <rFont val="Arial"/>
        <family val="2"/>
        <charset val="1"/>
      </rPr>
      <t>), minimum = 0.96</t>
    </r>
  </si>
  <si>
    <r>
      <rPr>
        <b/>
        <sz val="10"/>
        <rFont val="Arial"/>
        <family val="2"/>
        <charset val="1"/>
      </rPr>
      <t>Concentration of the most volatile in the bottoms (x</t>
    </r>
    <r>
      <rPr>
        <b/>
        <vertAlign val="subscript"/>
        <sz val="10"/>
        <rFont val="Arial"/>
        <family val="2"/>
        <charset val="1"/>
      </rPr>
      <t>B</t>
    </r>
    <r>
      <rPr>
        <b/>
        <sz val="10"/>
        <rFont val="Arial"/>
        <family val="2"/>
        <charset val="1"/>
      </rPr>
      <t>), maximum = 0.02</t>
    </r>
  </si>
  <si>
    <t>Operating Pressure, atm</t>
  </si>
  <si>
    <t>atm</t>
  </si>
  <si>
    <t>Feed Temperature</t>
  </si>
  <si>
    <t>°C</t>
  </si>
  <si>
    <t>Feed Type</t>
  </si>
  <si>
    <t>Liquid</t>
  </si>
  <si>
    <t>q</t>
  </si>
  <si>
    <t>Distillate (D)</t>
  </si>
  <si>
    <t>Bottoms (B)</t>
  </si>
  <si>
    <r>
      <rPr>
        <sz val="10"/>
        <rFont val="Arial"/>
        <family val="2"/>
        <charset val="1"/>
      </rPr>
      <t>Minimum Reflux Ratio (R</t>
    </r>
    <r>
      <rPr>
        <vertAlign val="subscript"/>
        <sz val="10"/>
        <rFont val="Arial"/>
        <family val="2"/>
        <charset val="1"/>
      </rPr>
      <t>min</t>
    </r>
    <r>
      <rPr>
        <sz val="10"/>
        <rFont val="Arial"/>
        <family val="2"/>
        <charset val="1"/>
      </rPr>
      <t>)</t>
    </r>
  </si>
  <si>
    <r>
      <rPr>
        <b/>
        <sz val="10"/>
        <rFont val="Arial"/>
        <family val="2"/>
        <charset val="1"/>
      </rPr>
      <t>Reflux Ratio (1.5R</t>
    </r>
    <r>
      <rPr>
        <b/>
        <vertAlign val="subscript"/>
        <sz val="10"/>
        <rFont val="Arial"/>
        <family val="2"/>
        <charset val="1"/>
      </rPr>
      <t>min</t>
    </r>
    <r>
      <rPr>
        <b/>
        <sz val="10"/>
        <rFont val="Arial"/>
        <family val="2"/>
        <charset val="1"/>
      </rPr>
      <t>)</t>
    </r>
  </si>
  <si>
    <t>q/(q-1)</t>
  </si>
  <si>
    <t>Thermodynamic Properties</t>
  </si>
  <si>
    <r>
      <rPr>
        <sz val="10"/>
        <rFont val="Arial"/>
        <family val="2"/>
        <charset val="1"/>
      </rPr>
      <t>-x</t>
    </r>
    <r>
      <rPr>
        <vertAlign val="subscript"/>
        <sz val="10"/>
        <rFont val="Arial"/>
        <family val="2"/>
        <charset val="1"/>
      </rPr>
      <t>f</t>
    </r>
    <r>
      <rPr>
        <sz val="10"/>
        <rFont val="Arial"/>
        <family val="2"/>
        <charset val="1"/>
      </rPr>
      <t>./(q-1)</t>
    </r>
  </si>
  <si>
    <r>
      <rPr>
        <sz val="10"/>
        <rFont val="Arial"/>
        <family val="2"/>
        <charset val="1"/>
      </rPr>
      <t>Acetone H</t>
    </r>
    <r>
      <rPr>
        <vertAlign val="subscript"/>
        <sz val="10"/>
        <rFont val="Arial"/>
        <family val="2"/>
        <charset val="1"/>
      </rPr>
      <t>vap</t>
    </r>
    <r>
      <rPr>
        <sz val="10"/>
        <rFont val="Arial"/>
        <family val="2"/>
        <charset val="1"/>
      </rPr>
      <t>, kJ/kg</t>
    </r>
  </si>
  <si>
    <t>Acetone Cp (l), kJ/kg K</t>
  </si>
  <si>
    <t>Rectifying Section</t>
  </si>
  <si>
    <t>Acetone Cp (g), kJ/kg K</t>
  </si>
  <si>
    <t>R/(R+1)</t>
  </si>
  <si>
    <r>
      <rPr>
        <sz val="10"/>
        <rFont val="Arial"/>
        <family val="2"/>
        <charset val="1"/>
      </rPr>
      <t>Water H</t>
    </r>
    <r>
      <rPr>
        <vertAlign val="subscript"/>
        <sz val="10"/>
        <rFont val="Arial"/>
        <family val="2"/>
        <charset val="1"/>
      </rPr>
      <t>vap</t>
    </r>
    <r>
      <rPr>
        <sz val="10"/>
        <rFont val="Arial"/>
        <family val="2"/>
        <charset val="1"/>
      </rPr>
      <t>, kJ/kg</t>
    </r>
  </si>
  <si>
    <r>
      <rPr>
        <sz val="10"/>
        <rFont val="Arial"/>
        <family val="2"/>
        <charset val="1"/>
      </rPr>
      <t>x</t>
    </r>
    <r>
      <rPr>
        <vertAlign val="subscript"/>
        <sz val="10"/>
        <rFont val="Arial"/>
        <family val="2"/>
        <charset val="1"/>
      </rPr>
      <t>D</t>
    </r>
    <r>
      <rPr>
        <sz val="10"/>
        <rFont val="Arial"/>
        <family val="2"/>
        <charset val="1"/>
      </rPr>
      <t>/(R+1)</t>
    </r>
  </si>
  <si>
    <t>Water Cp (l), kJ/kg K</t>
  </si>
  <si>
    <t>Water Cp (g), kJ/kg K</t>
  </si>
  <si>
    <t>Liquid Reflux Stream to Column (L)</t>
  </si>
  <si>
    <t>Molecular Properties</t>
  </si>
  <si>
    <t>Vapor Stream from Column (V)</t>
  </si>
  <si>
    <t>MW Acetone, g/mol</t>
  </si>
  <si>
    <t>MW Water, g/mol</t>
  </si>
  <si>
    <t>Rectifying-Stripping Intersection</t>
  </si>
  <si>
    <r>
      <rPr>
        <sz val="10"/>
        <rFont val="Arial"/>
        <family val="2"/>
        <charset val="1"/>
      </rPr>
      <t>q</t>
    </r>
    <r>
      <rPr>
        <vertAlign val="subscript"/>
        <sz val="10"/>
        <rFont val="Arial"/>
        <family val="2"/>
        <charset val="1"/>
      </rPr>
      <t>x</t>
    </r>
  </si>
  <si>
    <t>Reflux Ratio</t>
  </si>
  <si>
    <r>
      <rPr>
        <sz val="10"/>
        <rFont val="Arial"/>
        <family val="2"/>
        <charset val="1"/>
      </rPr>
      <t>q</t>
    </r>
    <r>
      <rPr>
        <vertAlign val="subscript"/>
        <sz val="10"/>
        <rFont val="Arial"/>
        <family val="2"/>
        <charset val="1"/>
      </rPr>
      <t>y</t>
    </r>
  </si>
  <si>
    <t>R</t>
  </si>
  <si>
    <r>
      <rPr>
        <b/>
        <sz val="10"/>
        <rFont val="Arial"/>
        <family val="2"/>
        <charset val="1"/>
      </rPr>
      <t>x</t>
    </r>
    <r>
      <rPr>
        <b/>
        <vertAlign val="subscript"/>
        <sz val="10"/>
        <rFont val="Arial"/>
        <family val="2"/>
        <charset val="1"/>
      </rPr>
      <t>D</t>
    </r>
    <r>
      <rPr>
        <b/>
        <sz val="10"/>
        <rFont val="Arial"/>
        <family val="2"/>
        <charset val="1"/>
      </rPr>
      <t>/(R+1)</t>
    </r>
  </si>
  <si>
    <r>
      <rPr>
        <b/>
        <sz val="10"/>
        <rFont val="Arial"/>
        <family val="2"/>
        <charset val="1"/>
      </rPr>
      <t>q</t>
    </r>
    <r>
      <rPr>
        <b/>
        <vertAlign val="subscript"/>
        <sz val="10"/>
        <rFont val="Arial"/>
        <family val="2"/>
        <charset val="1"/>
      </rPr>
      <t>x</t>
    </r>
  </si>
  <si>
    <r>
      <rPr>
        <b/>
        <sz val="10"/>
        <rFont val="Arial"/>
        <family val="2"/>
        <charset val="1"/>
      </rPr>
      <t>q</t>
    </r>
    <r>
      <rPr>
        <b/>
        <vertAlign val="subscript"/>
        <sz val="10"/>
        <rFont val="Arial"/>
        <family val="2"/>
        <charset val="1"/>
      </rPr>
      <t>y</t>
    </r>
  </si>
  <si>
    <t>Intersection</t>
  </si>
  <si>
    <t>Distillation</t>
  </si>
  <si>
    <t>Stages</t>
  </si>
  <si>
    <t>Stripping Section</t>
  </si>
  <si>
    <t>L’/V’</t>
  </si>
  <si>
    <r>
      <rPr>
        <sz val="10"/>
        <rFont val="Arial"/>
        <family val="2"/>
        <charset val="1"/>
      </rPr>
      <t>-Bx</t>
    </r>
    <r>
      <rPr>
        <vertAlign val="subscript"/>
        <sz val="10"/>
        <rFont val="Arial"/>
        <family val="2"/>
        <charset val="1"/>
      </rPr>
      <t>B</t>
    </r>
    <r>
      <rPr>
        <sz val="10"/>
        <rFont val="Arial"/>
        <family val="2"/>
        <charset val="1"/>
      </rPr>
      <t>/V'</t>
    </r>
  </si>
  <si>
    <t>Liquid Stream from Column (L’)</t>
  </si>
  <si>
    <t>Vapor Reflux Stream to Column (V’)</t>
  </si>
  <si>
    <t>Number of Trays</t>
  </si>
  <si>
    <t>Feed Tray</t>
  </si>
  <si>
    <t>Reboiler Duty</t>
  </si>
  <si>
    <t>MJ</t>
  </si>
  <si>
    <t>Condenser Duty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</si>
</sst>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1"/>
    </font>
    <font>
      <i/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vertAlign val="subscript"/>
      <sz val="10"/>
      <name val="Arial"/>
      <family val="2"/>
      <charset val="1"/>
    </font>
    <font>
      <i/>
      <vertAlign val="superscript"/>
      <sz val="10"/>
      <name val="Arial"/>
      <family val="2"/>
      <charset val="1"/>
    </font>
    <font>
      <vertAlign val="subscript"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8F2A1"/>
        <bgColor rgb="FFFFFFCC"/>
      </patternFill>
    </fill>
    <fill>
      <patternFill patternType="solid">
        <fgColor rgb="FFB3CAC7"/>
        <bgColor rgb="FFB3B3B3"/>
      </patternFill>
    </fill>
  </fills>
  <borders count="13">
    <border>
      <left/>
      <right/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Font="1" applyBorder="1" applyAlignment="1">
      <alignment vertical="top"/>
    </xf>
    <xf numFmtId="0" fontId="3" fillId="0" borderId="1" xfId="0" applyFont="1" applyBorder="1" applyAlignment="1"/>
    <xf numFmtId="0" fontId="3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/>
    <xf numFmtId="0" fontId="0" fillId="0" borderId="1" xfId="0" applyBorder="1" applyAlignment="1"/>
    <xf numFmtId="0" fontId="2" fillId="2" borderId="2" xfId="0" applyFont="1" applyFill="1" applyBorder="1" applyAlignment="1"/>
    <xf numFmtId="0" fontId="0" fillId="2" borderId="3" xfId="0" applyFill="1" applyBorder="1" applyAlignment="1"/>
    <xf numFmtId="0" fontId="3" fillId="2" borderId="4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1" fillId="2" borderId="6" xfId="0" applyFont="1" applyFill="1" applyBorder="1" applyAlignment="1"/>
    <xf numFmtId="2" fontId="0" fillId="0" borderId="0" xfId="0" applyNumberFormat="1" applyAlignment="1"/>
    <xf numFmtId="0" fontId="3" fillId="2" borderId="7" xfId="0" applyFont="1" applyFill="1" applyBorder="1" applyAlignment="1">
      <alignment vertical="center"/>
    </xf>
    <xf numFmtId="0" fontId="0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3" borderId="10" xfId="0" applyFont="1" applyFill="1" applyBorder="1" applyAlignment="1"/>
    <xf numFmtId="2" fontId="0" fillId="3" borderId="11" xfId="0" applyNumberFormat="1" applyFill="1" applyBorder="1" applyAlignment="1"/>
    <xf numFmtId="0" fontId="1" fillId="3" borderId="12" xfId="0" applyFont="1" applyFill="1" applyBorder="1" applyAlignment="1"/>
    <xf numFmtId="0" fontId="3" fillId="3" borderId="1" xfId="0" applyFont="1" applyFill="1" applyBorder="1" applyAlignment="1"/>
    <xf numFmtId="2" fontId="0" fillId="3" borderId="5" xfId="0" applyNumberFormat="1" applyFill="1" applyBorder="1" applyAlignment="1"/>
    <xf numFmtId="0" fontId="1" fillId="3" borderId="6" xfId="0" applyFont="1" applyFill="1" applyBorder="1" applyAlignment="1"/>
    <xf numFmtId="0" fontId="0" fillId="3" borderId="1" xfId="0" applyFont="1" applyFill="1" applyBorder="1" applyAlignment="1"/>
    <xf numFmtId="0" fontId="3" fillId="0" borderId="1" xfId="0" applyFont="1" applyBorder="1" applyAlignment="1"/>
    <xf numFmtId="0" fontId="0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Font="1"/>
    <xf numFmtId="0" fontId="7" fillId="0" borderId="0" xfId="0" applyFont="1" applyAlignment="1"/>
    <xf numFmtId="0" fontId="0" fillId="0" borderId="0" xfId="0" applyFont="1" applyAlignment="1">
      <alignment horizontal="center"/>
    </xf>
    <xf numFmtId="0" fontId="0" fillId="3" borderId="1" xfId="0" applyFont="1" applyFill="1" applyBorder="1"/>
    <xf numFmtId="0" fontId="0" fillId="3" borderId="7" xfId="0" applyFont="1" applyFill="1" applyBorder="1" applyAlignment="1"/>
    <xf numFmtId="2" fontId="7" fillId="3" borderId="8" xfId="0" applyNumberFormat="1" applyFont="1" applyFill="1" applyBorder="1" applyAlignment="1"/>
    <xf numFmtId="0" fontId="1" fillId="3" borderId="9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5000B"/>
      <rgbColor rgb="FF00FF00"/>
      <rgbColor rgb="FF0000FF"/>
      <rgbColor rgb="FFFFFF0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CAC7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83CAFF"/>
      <rgbColor rgb="FFFF99CC"/>
      <rgbColor rgb="FFCC99FF"/>
      <rgbColor rgb="FFFFCC99"/>
      <rgbColor rgb="FF3366FF"/>
      <rgbColor rgb="FF33CCCC"/>
      <rgbColor rgb="FFAECF00"/>
      <rgbColor rgb="FFFFD320"/>
      <rgbColor rgb="FFFF950E"/>
      <rgbColor rgb="FFFF420E"/>
      <rgbColor rgb="FF666699"/>
      <rgbColor rgb="FFB3B3B3"/>
      <rgbColor rgb="FF004586"/>
      <rgbColor rgb="FF579D1C"/>
      <rgbColor rgb="FF003300"/>
      <rgbColor rgb="FF314004"/>
      <rgbColor rgb="FF993300"/>
      <rgbColor rgb="FF993366"/>
      <rgbColor rgb="FF4B1F6F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6.4497517308902699E-2"/>
          <c:y val="1.72656508777741E-2"/>
          <c:w val="0.89618155115742404"/>
          <c:h val="0.8114441868168269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Sheet2!$J$1:$J$1</c:f>
              <c:strCache>
                <c:ptCount val="1"/>
                <c:pt idx="0">
                  <c:v>Mol Fraction Acetone in Vapor, yA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Sheet2!$I$2:$I$15</c:f>
              <c:numCache>
                <c:formatCode>General</c:formatCode>
                <c:ptCount val="14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0.3</c:v>
                </c:pt>
                <c:pt idx="6">
                  <c:v>0.4</c:v>
                </c:pt>
                <c:pt idx="7">
                  <c:v>0.5</c:v>
                </c:pt>
                <c:pt idx="8">
                  <c:v>0.6</c:v>
                </c:pt>
                <c:pt idx="9">
                  <c:v>0.7</c:v>
                </c:pt>
                <c:pt idx="10">
                  <c:v>0.8</c:v>
                </c:pt>
                <c:pt idx="11">
                  <c:v>0.9</c:v>
                </c:pt>
                <c:pt idx="12">
                  <c:v>0.95</c:v>
                </c:pt>
                <c:pt idx="13">
                  <c:v>1</c:v>
                </c:pt>
              </c:numCache>
            </c:numRef>
          </c:xVal>
          <c:yVal>
            <c:numRef>
              <c:f>Sheet2!$J$2:$J$15</c:f>
              <c:numCache>
                <c:formatCode>General</c:formatCode>
                <c:ptCount val="14"/>
                <c:pt idx="0">
                  <c:v>0</c:v>
                </c:pt>
                <c:pt idx="1">
                  <c:v>0.6381</c:v>
                </c:pt>
                <c:pt idx="2">
                  <c:v>0.73009999999999997</c:v>
                </c:pt>
                <c:pt idx="3">
                  <c:v>0.77159999999999995</c:v>
                </c:pt>
                <c:pt idx="4">
                  <c:v>0.79159999999999997</c:v>
                </c:pt>
                <c:pt idx="5">
                  <c:v>0.81240000000000001</c:v>
                </c:pt>
                <c:pt idx="6">
                  <c:v>0.82689999999999997</c:v>
                </c:pt>
                <c:pt idx="7">
                  <c:v>0.8387</c:v>
                </c:pt>
                <c:pt idx="8">
                  <c:v>0.85319999999999996</c:v>
                </c:pt>
                <c:pt idx="9">
                  <c:v>0.87119999999999997</c:v>
                </c:pt>
                <c:pt idx="10">
                  <c:v>0.89500000000000002</c:v>
                </c:pt>
                <c:pt idx="11">
                  <c:v>0.9335</c:v>
                </c:pt>
                <c:pt idx="12">
                  <c:v>0.9627</c:v>
                </c:pt>
                <c:pt idx="1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B3B-43CC-9063-2C202195648B}"/>
            </c:ext>
          </c:extLst>
        </c:ser>
        <c:ser>
          <c:idx val="1"/>
          <c:order val="1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0">
              <a:solidFill>
                <a:srgbClr val="000000"/>
              </a:solidFill>
              <a:custDash>
                <a:ds d="300000" sp="300000"/>
              </a:custDash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Sheet2!$K$2:$K$3</c:f>
              <c:numCache>
                <c:formatCode>General</c:formatCode>
                <c:ptCount val="2"/>
                <c:pt idx="0">
                  <c:v>0.96</c:v>
                </c:pt>
                <c:pt idx="1">
                  <c:v>0.96</c:v>
                </c:pt>
              </c:numCache>
            </c:numRef>
          </c:xVal>
          <c:yVal>
            <c:numRef>
              <c:f>Sheet2!$L$2:$L$3</c:f>
              <c:numCache>
                <c:formatCode>General</c:formatCode>
                <c:ptCount val="2"/>
                <c:pt idx="0">
                  <c:v>0</c:v>
                </c:pt>
                <c:pt idx="1">
                  <c:v>0.96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B3B-43CC-9063-2C202195648B}"/>
            </c:ext>
          </c:extLst>
        </c:ser>
        <c:ser>
          <c:idx val="2"/>
          <c:order val="2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0">
              <a:solidFill>
                <a:srgbClr val="000000"/>
              </a:solidFill>
              <a:custDash>
                <a:ds d="300000" sp="300000"/>
              </a:custDash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Sheet2!$M$2:$M$3</c:f>
              <c:numCache>
                <c:formatCode>General</c:formatCode>
                <c:ptCount val="2"/>
                <c:pt idx="0">
                  <c:v>0.02</c:v>
                </c:pt>
                <c:pt idx="1">
                  <c:v>0.02</c:v>
                </c:pt>
              </c:numCache>
            </c:numRef>
          </c:xVal>
          <c:yVal>
            <c:numRef>
              <c:f>Sheet2!$N$2:$N$3</c:f>
              <c:numCache>
                <c:formatCode>General</c:formatCode>
                <c:ptCount val="2"/>
                <c:pt idx="0">
                  <c:v>0</c:v>
                </c:pt>
                <c:pt idx="1">
                  <c:v>0.02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B3B-43CC-9063-2C202195648B}"/>
            </c:ext>
          </c:extLst>
        </c:ser>
        <c:ser>
          <c:idx val="3"/>
          <c:order val="3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0">
              <a:solidFill>
                <a:srgbClr val="000000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Sheet2!$F$2:$F$15</c:f>
              <c:numCache>
                <c:formatCode>0.00</c:formatCode>
                <c:ptCount val="14"/>
                <c:pt idx="0" formatCode="General">
                  <c:v>0</c:v>
                </c:pt>
                <c:pt idx="1">
                  <c:v>7.1428571428571425E-2</c:v>
                </c:pt>
                <c:pt idx="2">
                  <c:v>0.14285714285714285</c:v>
                </c:pt>
                <c:pt idx="3">
                  <c:v>0.21428571428571427</c:v>
                </c:pt>
                <c:pt idx="4">
                  <c:v>0.2857142857142857</c:v>
                </c:pt>
                <c:pt idx="5">
                  <c:v>0.3571428571428571</c:v>
                </c:pt>
                <c:pt idx="6">
                  <c:v>0.42857142857142855</c:v>
                </c:pt>
                <c:pt idx="7">
                  <c:v>0.5</c:v>
                </c:pt>
                <c:pt idx="8">
                  <c:v>0.5714285714285714</c:v>
                </c:pt>
                <c:pt idx="9">
                  <c:v>0.64285714285714279</c:v>
                </c:pt>
                <c:pt idx="10">
                  <c:v>0.71428571428571419</c:v>
                </c:pt>
                <c:pt idx="11">
                  <c:v>0.7857142857142857</c:v>
                </c:pt>
                <c:pt idx="12">
                  <c:v>0.8571428571428571</c:v>
                </c:pt>
                <c:pt idx="13">
                  <c:v>1</c:v>
                </c:pt>
              </c:numCache>
            </c:numRef>
          </c:xVal>
          <c:yVal>
            <c:numRef>
              <c:f>Sheet2!$G$2:$G$15</c:f>
              <c:numCache>
                <c:formatCode>0.00</c:formatCode>
                <c:ptCount val="14"/>
                <c:pt idx="0" formatCode="General">
                  <c:v>0</c:v>
                </c:pt>
                <c:pt idx="1">
                  <c:v>7.1428571428571425E-2</c:v>
                </c:pt>
                <c:pt idx="2">
                  <c:v>0.14285714285714285</c:v>
                </c:pt>
                <c:pt idx="3">
                  <c:v>0.21428571428571427</c:v>
                </c:pt>
                <c:pt idx="4">
                  <c:v>0.2857142857142857</c:v>
                </c:pt>
                <c:pt idx="5">
                  <c:v>0.3571428571428571</c:v>
                </c:pt>
                <c:pt idx="6">
                  <c:v>0.42857142857142855</c:v>
                </c:pt>
                <c:pt idx="7">
                  <c:v>0.5</c:v>
                </c:pt>
                <c:pt idx="8">
                  <c:v>0.5714285714285714</c:v>
                </c:pt>
                <c:pt idx="9">
                  <c:v>0.64285714285714279</c:v>
                </c:pt>
                <c:pt idx="10">
                  <c:v>0.71428571428571419</c:v>
                </c:pt>
                <c:pt idx="11">
                  <c:v>0.7857142857142857</c:v>
                </c:pt>
                <c:pt idx="12">
                  <c:v>0.8571428571428571</c:v>
                </c:pt>
                <c:pt idx="13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B3B-43CC-9063-2C202195648B}"/>
            </c:ext>
          </c:extLst>
        </c:ser>
        <c:ser>
          <c:idx val="4"/>
          <c:order val="4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0">
              <a:solidFill>
                <a:srgbClr val="7E0021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Sheet2!$H$67:$H$129</c:f>
              <c:numCache>
                <c:formatCode>General</c:formatCode>
                <c:ptCount val="63"/>
                <c:pt idx="0">
                  <c:v>0.67676027381074289</c:v>
                </c:pt>
                <c:pt idx="1">
                  <c:v>0.67536342478982958</c:v>
                </c:pt>
                <c:pt idx="2">
                  <c:v>0.67395272984733856</c:v>
                </c:pt>
                <c:pt idx="3">
                  <c:v>0.67252798209146147</c:v>
                </c:pt>
                <c:pt idx="4">
                  <c:v>0.67108897048779903</c:v>
                </c:pt>
                <c:pt idx="5">
                  <c:v>0.66963547975515603</c:v>
                </c:pt>
                <c:pt idx="6">
                  <c:v>0.66816729025817501</c:v>
                </c:pt>
                <c:pt idx="7">
                  <c:v>0.66668417789669454</c:v>
                </c:pt>
                <c:pt idx="8">
                  <c:v>0.66518591399171889</c:v>
                </c:pt>
                <c:pt idx="9">
                  <c:v>0.66367226516787259</c:v>
                </c:pt>
                <c:pt idx="10">
                  <c:v>0.66214299323221693</c:v>
                </c:pt>
                <c:pt idx="11">
                  <c:v>0.66059785504929391</c:v>
                </c:pt>
                <c:pt idx="12">
                  <c:v>0.65903660241226059</c:v>
                </c:pt>
                <c:pt idx="13">
                  <c:v>0.65745898190997054</c:v>
                </c:pt>
                <c:pt idx="14">
                  <c:v>0.65586473478985341</c:v>
                </c:pt>
                <c:pt idx="15">
                  <c:v>0.6542535968164348</c:v>
                </c:pt>
                <c:pt idx="16">
                  <c:v>0.65262529812533665</c:v>
                </c:pt>
                <c:pt idx="17">
                  <c:v>0.65097956307258631</c:v>
                </c:pt>
                <c:pt idx="18">
                  <c:v>0.64931611007905987</c:v>
                </c:pt>
                <c:pt idx="19">
                  <c:v>0.64763465146987276</c:v>
                </c:pt>
                <c:pt idx="20">
                  <c:v>0.64593489330852749</c:v>
                </c:pt>
                <c:pt idx="21">
                  <c:v>0.64421653522561606</c:v>
                </c:pt>
                <c:pt idx="22">
                  <c:v>0.64247927024186935</c:v>
                </c:pt>
                <c:pt idx="23">
                  <c:v>0.64072278458533116</c:v>
                </c:pt>
                <c:pt idx="24">
                  <c:v>0.63894675750243313</c:v>
                </c:pt>
                <c:pt idx="25">
                  <c:v>0.63715086106272567</c:v>
                </c:pt>
                <c:pt idx="26">
                  <c:v>0.6353347599570206</c:v>
                </c:pt>
                <c:pt idx="27">
                  <c:v>0.63349811128868239</c:v>
                </c:pt>
                <c:pt idx="28">
                  <c:v>0.63164056435779181</c:v>
                </c:pt>
                <c:pt idx="29">
                  <c:v>0.62976176043790533</c:v>
                </c:pt>
                <c:pt idx="30">
                  <c:v>0.62786133254510013</c:v>
                </c:pt>
                <c:pt idx="31">
                  <c:v>0.62593890519900408</c:v>
                </c:pt>
                <c:pt idx="32">
                  <c:v>0.62399409417547402</c:v>
                </c:pt>
                <c:pt idx="33">
                  <c:v>0.62202650625058753</c:v>
                </c:pt>
                <c:pt idx="34">
                  <c:v>0.62003573893558483</c:v>
                </c:pt>
                <c:pt idx="35">
                  <c:v>0.61802138020238906</c:v>
                </c:pt>
                <c:pt idx="36">
                  <c:v>0.61598300819930929</c:v>
                </c:pt>
                <c:pt idx="37">
                  <c:v>0.61392019095651507</c:v>
                </c:pt>
                <c:pt idx="38">
                  <c:v>0.61183248608085206</c:v>
                </c:pt>
                <c:pt idx="39">
                  <c:v>0.60971944043954329</c:v>
                </c:pt>
                <c:pt idx="40">
                  <c:v>0.60758058983230256</c:v>
                </c:pt>
                <c:pt idx="41">
                  <c:v>0.60541545865136182</c:v>
                </c:pt>
                <c:pt idx="42">
                  <c:v>0.60322355952888884</c:v>
                </c:pt>
                <c:pt idx="43">
                  <c:v>0.60100439297124597</c:v>
                </c:pt>
                <c:pt idx="44">
                  <c:v>0.59875744697951516</c:v>
                </c:pt>
                <c:pt idx="45">
                  <c:v>0.5964821966556807</c:v>
                </c:pt>
                <c:pt idx="46">
                  <c:v>0.59417810379383673</c:v>
                </c:pt>
                <c:pt idx="47">
                  <c:v>0.59184461645574793</c:v>
                </c:pt>
                <c:pt idx="48">
                  <c:v>0.58948116853006349</c:v>
                </c:pt>
                <c:pt idx="49">
                  <c:v>0.58708717927443943</c:v>
                </c:pt>
                <c:pt idx="50">
                  <c:v>0.58466205283980011</c:v>
                </c:pt>
                <c:pt idx="51">
                  <c:v>0.58220517777590985</c:v>
                </c:pt>
                <c:pt idx="52">
                  <c:v>0.579715926517403</c:v>
                </c:pt>
                <c:pt idx="53">
                  <c:v>0.57719365484935592</c:v>
                </c:pt>
                <c:pt idx="54">
                  <c:v>0.57463770135145287</c:v>
                </c:pt>
                <c:pt idx="55">
                  <c:v>0.57204738681973155</c:v>
                </c:pt>
                <c:pt idx="56">
                  <c:v>0.56942201366485268</c:v>
                </c:pt>
                <c:pt idx="57">
                  <c:v>0.56676086528576752</c:v>
                </c:pt>
                <c:pt idx="58">
                  <c:v>0.56406320541760724</c:v>
                </c:pt>
                <c:pt idx="59">
                  <c:v>0.56132827745254565</c:v>
                </c:pt>
                <c:pt idx="60">
                  <c:v>0.5585553037323181</c:v>
                </c:pt>
                <c:pt idx="61">
                  <c:v>0.55574348481100899</c:v>
                </c:pt>
                <c:pt idx="62">
                  <c:v>0.55289199868663885</c:v>
                </c:pt>
              </c:numCache>
            </c:numRef>
          </c:xVal>
          <c:yVal>
            <c:numRef>
              <c:f>Sheet2!$I$67:$I$129</c:f>
              <c:numCache>
                <c:formatCode>General</c:formatCode>
                <c:ptCount val="63"/>
                <c:pt idx="0">
                  <c:v>0.85520130130997485</c:v>
                </c:pt>
                <c:pt idx="1">
                  <c:v>0.8518381014201355</c:v>
                </c:pt>
                <c:pt idx="2">
                  <c:v>0.84844156464046194</c:v>
                </c:pt>
                <c:pt idx="3">
                  <c:v>0.84501119283658466</c:v>
                </c:pt>
                <c:pt idx="4">
                  <c:v>0.8415464778999977</c:v>
                </c:pt>
                <c:pt idx="5">
                  <c:v>0.83804690149716543</c:v>
                </c:pt>
                <c:pt idx="6">
                  <c:v>0.83451193481101527</c:v>
                </c:pt>
                <c:pt idx="7">
                  <c:v>0.83094103827454546</c:v>
                </c:pt>
                <c:pt idx="8">
                  <c:v>0.82733366129627339</c:v>
                </c:pt>
                <c:pt idx="9">
                  <c:v>0.82368924197722126</c:v>
                </c:pt>
                <c:pt idx="10">
                  <c:v>0.82000720681914196</c:v>
                </c:pt>
                <c:pt idx="11">
                  <c:v>0.81628697042366105</c:v>
                </c:pt>
                <c:pt idx="12">
                  <c:v>0.81252793518200783</c:v>
                </c:pt>
                <c:pt idx="13">
                  <c:v>0.80872949095498514</c:v>
                </c:pt>
                <c:pt idx="14">
                  <c:v>0.80489101474282521</c:v>
                </c:pt>
                <c:pt idx="15">
                  <c:v>0.80101187034454613</c:v>
                </c:pt>
                <c:pt idx="16">
                  <c:v>0.79709140800642841</c:v>
                </c:pt>
                <c:pt idx="17">
                  <c:v>0.79312896405919653</c:v>
                </c:pt>
                <c:pt idx="18">
                  <c:v>0.78912386054348271</c:v>
                </c:pt>
                <c:pt idx="19">
                  <c:v>0.78507540482312854</c:v>
                </c:pt>
                <c:pt idx="20">
                  <c:v>0.78098288918586078</c:v>
                </c:pt>
                <c:pt idx="21">
                  <c:v>0.77684559043085732</c:v>
                </c:pt>
                <c:pt idx="22">
                  <c:v>0.77266276944270307</c:v>
                </c:pt>
                <c:pt idx="23">
                  <c:v>0.76843367075119851</c:v>
                </c:pt>
                <c:pt idx="24">
                  <c:v>0.76415752207648424</c:v>
                </c:pt>
                <c:pt idx="25">
                  <c:v>0.75983353385888996</c:v>
                </c:pt>
                <c:pt idx="26">
                  <c:v>0.75546089877292277</c:v>
                </c:pt>
                <c:pt idx="27">
                  <c:v>0.75103879122475692</c:v>
                </c:pt>
                <c:pt idx="28">
                  <c:v>0.74656636683256461</c:v>
                </c:pt>
                <c:pt idx="29">
                  <c:v>0.74204276188901752</c:v>
                </c:pt>
                <c:pt idx="30">
                  <c:v>0.73746709280521694</c:v>
                </c:pt>
                <c:pt idx="31">
                  <c:v>0.7328384555353229</c:v>
                </c:pt>
                <c:pt idx="32">
                  <c:v>0.72815592498107717</c:v>
                </c:pt>
                <c:pt idx="33">
                  <c:v>0.72341855437541147</c:v>
                </c:pt>
                <c:pt idx="34">
                  <c:v>0.71862537464426524</c:v>
                </c:pt>
                <c:pt idx="35">
                  <c:v>0.71377539374572008</c:v>
                </c:pt>
                <c:pt idx="36">
                  <c:v>0.70886759598549576</c:v>
                </c:pt>
                <c:pt idx="37">
                  <c:v>0.70390094130782122</c:v>
                </c:pt>
                <c:pt idx="38">
                  <c:v>0.69887436456063901</c:v>
                </c:pt>
                <c:pt idx="39">
                  <c:v>0.69378677473405292</c:v>
                </c:pt>
                <c:pt idx="40">
                  <c:v>0.68863705417087284</c:v>
                </c:pt>
                <c:pt idx="41">
                  <c:v>0.68342405774806214</c:v>
                </c:pt>
                <c:pt idx="42">
                  <c:v>0.67814661202782212</c:v>
                </c:pt>
                <c:pt idx="43">
                  <c:v>0.67280351437699659</c:v>
                </c:pt>
                <c:pt idx="44">
                  <c:v>0.66739353205340723</c:v>
                </c:pt>
                <c:pt idx="45">
                  <c:v>0.66191540125765824</c:v>
                </c:pt>
                <c:pt idx="46">
                  <c:v>0.65636782614888456</c:v>
                </c:pt>
                <c:pt idx="47">
                  <c:v>0.65074947782282799</c:v>
                </c:pt>
                <c:pt idx="48">
                  <c:v>0.64505899325055416</c:v>
                </c:pt>
                <c:pt idx="49">
                  <c:v>0.63929497417601788</c:v>
                </c:pt>
                <c:pt idx="50">
                  <c:v>0.63345598597062613</c:v>
                </c:pt>
                <c:pt idx="51">
                  <c:v>0.62754055644280049</c:v>
                </c:pt>
                <c:pt idx="52">
                  <c:v>0.62154717460048881</c:v>
                </c:pt>
                <c:pt idx="53">
                  <c:v>0.61547428936442028</c:v>
                </c:pt>
                <c:pt idx="54">
                  <c:v>0.60932030822982219</c:v>
                </c:pt>
                <c:pt idx="55">
                  <c:v>0.60308359587415294</c:v>
                </c:pt>
                <c:pt idx="56">
                  <c:v>0.59676247270831295</c:v>
                </c:pt>
                <c:pt idx="57">
                  <c:v>0.59035521336862162</c:v>
                </c:pt>
                <c:pt idx="58">
                  <c:v>0.58386004514672685</c:v>
                </c:pt>
                <c:pt idx="59">
                  <c:v>0.57727514635444366</c:v>
                </c:pt>
                <c:pt idx="60">
                  <c:v>0.57059864462034859</c:v>
                </c:pt>
                <c:pt idx="61">
                  <c:v>0.56382861511478888</c:v>
                </c:pt>
                <c:pt idx="62">
                  <c:v>0.55696307869977257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B3B-43CC-9063-2C202195648B}"/>
            </c:ext>
          </c:extLst>
        </c:ser>
        <c:ser>
          <c:idx val="5"/>
          <c:order val="5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0">
              <a:solidFill>
                <a:srgbClr val="83CAFF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Sheet2!$Q$2:$Q$3</c:f>
              <c:numCache>
                <c:formatCode>General</c:formatCode>
                <c:ptCount val="2"/>
                <c:pt idx="0">
                  <c:v>0.96</c:v>
                </c:pt>
                <c:pt idx="1">
                  <c:v>#N/A</c:v>
                </c:pt>
              </c:numCache>
            </c:numRef>
          </c:xVal>
          <c:yVal>
            <c:numRef>
              <c:f>Sheet2!$R$2:$R$3</c:f>
              <c:numCache>
                <c:formatCode>General</c:formatCode>
                <c:ptCount val="2"/>
                <c:pt idx="0">
                  <c:v>0.96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B3B-43CC-9063-2C202195648B}"/>
            </c:ext>
          </c:extLst>
        </c:ser>
        <c:ser>
          <c:idx val="6"/>
          <c:order val="6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0">
              <a:solidFill>
                <a:srgbClr val="314004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Sheet2!$S$2:$S$3</c:f>
              <c:numCache>
                <c:formatCode>General</c:formatCode>
                <c:ptCount val="2"/>
                <c:pt idx="0">
                  <c:v>0.02</c:v>
                </c:pt>
                <c:pt idx="1">
                  <c:v>#N/A</c:v>
                </c:pt>
              </c:numCache>
            </c:numRef>
          </c:xVal>
          <c:yVal>
            <c:numRef>
              <c:f>Sheet2!$T$2:$T$3</c:f>
              <c:numCache>
                <c:formatCode>General</c:formatCode>
                <c:ptCount val="2"/>
                <c:pt idx="0">
                  <c:v>0.02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B3B-43CC-9063-2C202195648B}"/>
            </c:ext>
          </c:extLst>
        </c:ser>
        <c:ser>
          <c:idx val="7"/>
          <c:order val="7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28800">
              <a:solidFill>
                <a:srgbClr val="AECF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Sheet2!$R$31:$R$32</c:f>
              <c:numCache>
                <c:formatCode>General</c:formatCode>
                <c:ptCount val="2"/>
                <c:pt idx="0">
                  <c:v>0.96</c:v>
                </c:pt>
                <c:pt idx="1">
                  <c:v>#N/A</c:v>
                </c:pt>
              </c:numCache>
            </c:numRef>
          </c:xVal>
          <c:yVal>
            <c:numRef>
              <c:f>Sheet2!$P$32:$Q$32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B3B-43CC-9063-2C202195648B}"/>
            </c:ext>
          </c:extLst>
        </c:ser>
        <c:ser>
          <c:idx val="8"/>
          <c:order val="8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28800">
              <a:solidFill>
                <a:srgbClr val="4B1F6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Sheet2!$R$32:$S$32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Sheet2!$Q$32:$Q$33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B3B-43CC-9063-2C202195648B}"/>
            </c:ext>
          </c:extLst>
        </c:ser>
        <c:ser>
          <c:idx val="9"/>
          <c:order val="9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28800">
              <a:solidFill>
                <a:srgbClr val="FF950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Sheet2!$R$32:$R$33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Sheet2!$P$33:$Q$33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B3B-43CC-9063-2C202195648B}"/>
            </c:ext>
          </c:extLst>
        </c:ser>
        <c:ser>
          <c:idx val="10"/>
          <c:order val="10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28800">
              <a:solidFill>
                <a:srgbClr val="C5000B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Sheet2!$R$33:$S$33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Sheet2!$Q$33:$Q$34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B3B-43CC-9063-2C202195648B}"/>
            </c:ext>
          </c:extLst>
        </c:ser>
        <c:ser>
          <c:idx val="11"/>
          <c:order val="11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28800">
              <a:solidFill>
                <a:srgbClr val="0084D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Sheet2!$R$33:$R$34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Sheet2!$P$34:$Q$34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B3B-43CC-9063-2C202195648B}"/>
            </c:ext>
          </c:extLst>
        </c:ser>
        <c:ser>
          <c:idx val="12"/>
          <c:order val="12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Sheet2!$R$34:$S$34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Sheet2!$Q$34:$Q$35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7B3B-43CC-9063-2C202195648B}"/>
            </c:ext>
          </c:extLst>
        </c:ser>
        <c:ser>
          <c:idx val="13"/>
          <c:order val="13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28800">
              <a:solidFill>
                <a:srgbClr val="FFD32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Sheet2!$R$34:$R$35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Sheet2!$P$35:$Q$35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7B3B-43CC-9063-2C202195648B}"/>
            </c:ext>
          </c:extLst>
        </c:ser>
        <c:ser>
          <c:idx val="14"/>
          <c:order val="14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28800">
              <a:solidFill>
                <a:srgbClr val="FF420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Sheet2!$R$35:$S$35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Sheet2!$Q$35:$Q$36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7B3B-43CC-9063-2C202195648B}"/>
            </c:ext>
          </c:extLst>
        </c:ser>
        <c:ser>
          <c:idx val="15"/>
          <c:order val="15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28800">
              <a:solidFill>
                <a:srgbClr val="579D1C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Sheet2!$R$35:$R$36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Sheet2!$P$36:$Q$36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7B3B-43CC-9063-2C202195648B}"/>
            </c:ext>
          </c:extLst>
        </c:ser>
        <c:ser>
          <c:idx val="16"/>
          <c:order val="16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28800">
              <a:solidFill>
                <a:srgbClr val="7E0021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Sheet2!$R$36:$S$36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Sheet2!$Q$36:$Q$37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7B3B-43CC-9063-2C202195648B}"/>
            </c:ext>
          </c:extLst>
        </c:ser>
        <c:ser>
          <c:idx val="17"/>
          <c:order val="17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0">
              <a:solidFill>
                <a:srgbClr val="83CAFF"/>
              </a:solidFill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Sheet2!$R$47:$R$48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Sheet2!$P$48:$Q$48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7B3B-43CC-9063-2C202195648B}"/>
            </c:ext>
          </c:extLst>
        </c:ser>
        <c:ser>
          <c:idx val="18"/>
          <c:order val="18"/>
          <c:tx>
            <c:strRef>
              <c:f>Sheet2!$A$1:$A$1</c:f>
              <c:strCache>
                <c:ptCount val="1"/>
                <c:pt idx="0">
                  <c:v>Given</c:v>
                </c:pt>
              </c:strCache>
            </c:strRef>
          </c:tx>
          <c:spPr>
            <a:ln w="28800">
              <a:solidFill>
                <a:srgbClr val="31400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Sheet2!$R$48:$S$48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xVal>
          <c:yVal>
            <c:numRef>
              <c:f>Sheet2!$Q$48:$Q$49</c:f>
              <c:numCache>
                <c:formatCode>General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7B3B-43CC-9063-2C2021956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140940"/>
        <c:axId val="28830517"/>
      </c:scatterChart>
      <c:valAx>
        <c:axId val="51140940"/>
        <c:scaling>
          <c:orientation val="minMax"/>
          <c:max val="1"/>
        </c:scaling>
        <c:delete val="0"/>
        <c:axPos val="b"/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sz="900" b="0" strike="noStrike" spc="-1">
                    <a:latin typeface="Arial"/>
                  </a:rPr>
                  <a:t>Mole Fraction of Acetone in Liquid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en-US"/>
          </a:p>
        </c:txPr>
        <c:crossAx val="28830517"/>
        <c:crossesAt val="0"/>
        <c:crossBetween val="between"/>
      </c:valAx>
      <c:valAx>
        <c:axId val="28830517"/>
        <c:scaling>
          <c:orientation val="minMax"/>
          <c:max val="1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sz="900" b="0" strike="noStrike" spc="-1">
                    <a:latin typeface="Arial"/>
                  </a:rPr>
                  <a:t>Mole Fraction of Acetone in Vapor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en-US"/>
          </a:p>
        </c:txPr>
        <c:crossAx val="51140940"/>
        <c:crossesAt val="0"/>
        <c:crossBetween val="between"/>
      </c:valAx>
      <c:spPr>
        <a:noFill/>
        <a:ln w="0">
          <a:solidFill>
            <a:srgbClr val="B3B3B3"/>
          </a:solidFill>
        </a:ln>
      </c:spPr>
    </c:plotArea>
    <c:plotVisOnly val="1"/>
    <c:dispBlanksAs val="span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747720</xdr:colOff>
      <xdr:row>23</xdr:row>
      <xdr:rowOff>144360</xdr:rowOff>
    </xdr:from>
    <xdr:to>
      <xdr:col>32</xdr:col>
      <xdr:colOff>460080</xdr:colOff>
      <xdr:row>50</xdr:row>
      <xdr:rowOff>102600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29"/>
  <sheetViews>
    <sheetView tabSelected="1" zoomScale="75" zoomScaleNormal="75" workbookViewId="0">
      <selection activeCell="A46" sqref="A46"/>
    </sheetView>
  </sheetViews>
  <sheetFormatPr defaultColWidth="11.5546875" defaultRowHeight="13.2" x14ac:dyDescent="0.25"/>
  <cols>
    <col min="1" max="1" width="60.109375" style="4" customWidth="1"/>
    <col min="2" max="2" width="11.5546875" style="4"/>
    <col min="3" max="3" width="11.5546875" style="5"/>
    <col min="4" max="4" width="11.5546875" style="4"/>
    <col min="5" max="5" width="20" style="6" customWidth="1"/>
    <col min="6" max="1024" width="11.5546875" style="4"/>
  </cols>
  <sheetData>
    <row r="1" spans="1:20" ht="16.2" x14ac:dyDescent="0.35">
      <c r="A1" s="7" t="s">
        <v>0</v>
      </c>
      <c r="B1" s="8"/>
      <c r="C1" s="9" t="s">
        <v>1</v>
      </c>
      <c r="E1" s="10"/>
      <c r="F1" s="11" t="s">
        <v>2</v>
      </c>
      <c r="G1" s="11" t="s">
        <v>3</v>
      </c>
      <c r="H1" s="11" t="s">
        <v>4</v>
      </c>
      <c r="I1" s="11" t="s">
        <v>5</v>
      </c>
      <c r="J1" s="11" t="s">
        <v>6</v>
      </c>
      <c r="K1" s="3" t="s">
        <v>7</v>
      </c>
      <c r="L1" s="3"/>
      <c r="M1" s="3" t="s">
        <v>8</v>
      </c>
      <c r="N1" s="3"/>
      <c r="O1" s="3" t="s">
        <v>9</v>
      </c>
      <c r="P1" s="3"/>
      <c r="Q1" s="3" t="s">
        <v>10</v>
      </c>
      <c r="R1" s="3"/>
      <c r="S1" s="3" t="s">
        <v>11</v>
      </c>
      <c r="T1" s="3"/>
    </row>
    <row r="2" spans="1:20" ht="15" x14ac:dyDescent="0.25">
      <c r="A2" s="12" t="s">
        <v>12</v>
      </c>
      <c r="B2" s="13">
        <v>100</v>
      </c>
      <c r="C2" s="14" t="s">
        <v>13</v>
      </c>
      <c r="E2" s="10">
        <v>1</v>
      </c>
      <c r="F2" s="4">
        <v>0</v>
      </c>
      <c r="G2" s="4">
        <v>0</v>
      </c>
      <c r="H2" s="4">
        <v>100</v>
      </c>
      <c r="I2" s="4">
        <v>0</v>
      </c>
      <c r="J2" s="4">
        <v>0</v>
      </c>
      <c r="K2" s="4">
        <f>B4</f>
        <v>0.96</v>
      </c>
      <c r="L2" s="4">
        <v>0</v>
      </c>
      <c r="M2" s="4">
        <f>B5</f>
        <v>0.02</v>
      </c>
      <c r="N2" s="4">
        <v>0</v>
      </c>
      <c r="O2" s="4">
        <f>B3</f>
        <v>0.55000000000000004</v>
      </c>
      <c r="P2" s="4">
        <f>O2*$B$17+$B$18</f>
        <v>0.55000000000000004</v>
      </c>
      <c r="Q2" s="4">
        <f>B4</f>
        <v>0.96</v>
      </c>
      <c r="R2" s="4">
        <f>B4</f>
        <v>0.96</v>
      </c>
      <c r="S2" s="4">
        <f>B5</f>
        <v>0.02</v>
      </c>
      <c r="T2" s="4">
        <f>B5</f>
        <v>0.02</v>
      </c>
    </row>
    <row r="3" spans="1:20" ht="15.6" x14ac:dyDescent="0.25">
      <c r="A3" s="12" t="s">
        <v>14</v>
      </c>
      <c r="B3" s="13">
        <v>0.55000000000000004</v>
      </c>
      <c r="C3" s="14"/>
      <c r="E3" s="10">
        <v>2</v>
      </c>
      <c r="F3" s="15">
        <f>1/$E$15</f>
        <v>7.1428571428571425E-2</v>
      </c>
      <c r="G3" s="15">
        <f t="shared" ref="G3:G14" si="0">F3</f>
        <v>7.1428571428571425E-2</v>
      </c>
      <c r="H3" s="4">
        <v>74.8</v>
      </c>
      <c r="I3" s="4">
        <v>0.05</v>
      </c>
      <c r="J3" s="4">
        <v>0.6381</v>
      </c>
      <c r="K3" s="4">
        <f>K2</f>
        <v>0.96</v>
      </c>
      <c r="L3" s="4">
        <f>K3</f>
        <v>0.96</v>
      </c>
      <c r="M3" s="4">
        <f>M2</f>
        <v>0.02</v>
      </c>
      <c r="N3" s="4">
        <f>M3</f>
        <v>0.02</v>
      </c>
      <c r="O3" s="4" t="e">
        <f>B28</f>
        <v>#N/A</v>
      </c>
      <c r="P3" s="4" t="e">
        <f>B29</f>
        <v>#N/A</v>
      </c>
      <c r="Q3" s="4" t="e">
        <f>B28</f>
        <v>#N/A</v>
      </c>
      <c r="R3" s="4" t="e">
        <f>B29</f>
        <v>#N/A</v>
      </c>
      <c r="S3" s="4" t="e">
        <f>B28</f>
        <v>#N/A</v>
      </c>
      <c r="T3" s="4" t="e">
        <f>B29</f>
        <v>#N/A</v>
      </c>
    </row>
    <row r="4" spans="1:20" ht="15.6" x14ac:dyDescent="0.25">
      <c r="A4" s="12" t="s">
        <v>15</v>
      </c>
      <c r="B4" s="13">
        <v>0.96</v>
      </c>
      <c r="C4" s="14"/>
      <c r="E4" s="10">
        <v>3</v>
      </c>
      <c r="F4" s="15">
        <f t="shared" ref="F4:F14" si="1">$F$3*E3</f>
        <v>0.14285714285714285</v>
      </c>
      <c r="G4" s="15">
        <f t="shared" si="0"/>
        <v>0.14285714285714285</v>
      </c>
      <c r="H4" s="4">
        <v>68.53</v>
      </c>
      <c r="I4" s="4">
        <v>0.1</v>
      </c>
      <c r="J4" s="4">
        <v>0.73009999999999997</v>
      </c>
    </row>
    <row r="5" spans="1:20" ht="15.6" x14ac:dyDescent="0.25">
      <c r="A5" s="12" t="s">
        <v>16</v>
      </c>
      <c r="B5" s="13">
        <v>0.02</v>
      </c>
      <c r="C5" s="14"/>
      <c r="E5" s="10">
        <v>4</v>
      </c>
      <c r="F5" s="15">
        <f t="shared" si="1"/>
        <v>0.21428571428571427</v>
      </c>
      <c r="G5" s="15">
        <f t="shared" si="0"/>
        <v>0.21428571428571427</v>
      </c>
      <c r="H5" s="4">
        <v>65.260000000000005</v>
      </c>
      <c r="I5" s="4">
        <v>0.15</v>
      </c>
      <c r="J5" s="4">
        <v>0.77159999999999995</v>
      </c>
    </row>
    <row r="6" spans="1:20" x14ac:dyDescent="0.25">
      <c r="A6" s="12" t="s">
        <v>17</v>
      </c>
      <c r="B6" s="13">
        <v>1</v>
      </c>
      <c r="C6" s="14" t="s">
        <v>18</v>
      </c>
      <c r="E6" s="10">
        <v>5</v>
      </c>
      <c r="F6" s="15">
        <f t="shared" si="1"/>
        <v>0.2857142857142857</v>
      </c>
      <c r="G6" s="15">
        <f t="shared" si="0"/>
        <v>0.2857142857142857</v>
      </c>
      <c r="H6" s="4">
        <v>63.59</v>
      </c>
      <c r="I6" s="4">
        <v>0.2</v>
      </c>
      <c r="J6" s="4">
        <v>0.79159999999999997</v>
      </c>
    </row>
    <row r="7" spans="1:20" x14ac:dyDescent="0.25">
      <c r="A7" s="12" t="s">
        <v>19</v>
      </c>
      <c r="B7" s="13">
        <v>25</v>
      </c>
      <c r="C7" s="14" t="s">
        <v>20</v>
      </c>
      <c r="E7" s="10">
        <v>6</v>
      </c>
      <c r="F7" s="15">
        <f t="shared" si="1"/>
        <v>0.3571428571428571</v>
      </c>
      <c r="G7" s="15">
        <f t="shared" si="0"/>
        <v>0.3571428571428571</v>
      </c>
      <c r="H7" s="4">
        <v>61.87</v>
      </c>
      <c r="I7" s="4">
        <v>0.3</v>
      </c>
      <c r="J7" s="4">
        <v>0.81240000000000001</v>
      </c>
    </row>
    <row r="8" spans="1:20" x14ac:dyDescent="0.25">
      <c r="A8" s="16" t="s">
        <v>21</v>
      </c>
      <c r="B8" s="17" t="s">
        <v>22</v>
      </c>
      <c r="C8" s="18"/>
      <c r="E8" s="10">
        <v>7</v>
      </c>
      <c r="F8" s="15">
        <f t="shared" si="1"/>
        <v>0.42857142857142855</v>
      </c>
      <c r="G8" s="15">
        <f t="shared" si="0"/>
        <v>0.42857142857142855</v>
      </c>
      <c r="H8" s="4">
        <v>60.75</v>
      </c>
      <c r="I8" s="4">
        <v>0.4</v>
      </c>
      <c r="J8" s="4">
        <v>0.82689999999999997</v>
      </c>
    </row>
    <row r="9" spans="1:20" x14ac:dyDescent="0.25">
      <c r="A9" s="19"/>
      <c r="B9" s="20"/>
      <c r="E9" s="10">
        <v>8</v>
      </c>
      <c r="F9" s="15">
        <f t="shared" si="1"/>
        <v>0.5</v>
      </c>
      <c r="G9" s="15">
        <f t="shared" si="0"/>
        <v>0.5</v>
      </c>
      <c r="H9" s="4">
        <v>59.95</v>
      </c>
      <c r="I9" s="4">
        <v>0.5</v>
      </c>
      <c r="J9" s="4">
        <v>0.8387</v>
      </c>
    </row>
    <row r="10" spans="1:20" x14ac:dyDescent="0.25">
      <c r="A10" s="21" t="s">
        <v>23</v>
      </c>
      <c r="B10" s="22">
        <f>IF(B8="Liquid", 1-(B7-$H$15)/($H$2-$H$15))</f>
        <v>1.710376282782212</v>
      </c>
      <c r="C10" s="23"/>
      <c r="E10" s="10">
        <v>9</v>
      </c>
      <c r="F10" s="15">
        <f t="shared" si="1"/>
        <v>0.5714285714285714</v>
      </c>
      <c r="G10" s="15">
        <f t="shared" si="0"/>
        <v>0.5714285714285714</v>
      </c>
      <c r="H10" s="4">
        <v>59.12</v>
      </c>
      <c r="I10" s="4">
        <v>0.6</v>
      </c>
      <c r="J10" s="4">
        <v>0.85319999999999996</v>
      </c>
    </row>
    <row r="11" spans="1:20" ht="15" x14ac:dyDescent="0.25">
      <c r="A11" s="24" t="s">
        <v>24</v>
      </c>
      <c r="B11" s="25">
        <f>B2*(B5-B3)/(B5-B4)</f>
        <v>56.382978723404257</v>
      </c>
      <c r="C11" s="26" t="s">
        <v>13</v>
      </c>
      <c r="E11" s="10">
        <v>10</v>
      </c>
      <c r="F11" s="15">
        <f t="shared" si="1"/>
        <v>0.64285714285714279</v>
      </c>
      <c r="G11" s="15">
        <f t="shared" si="0"/>
        <v>0.64285714285714279</v>
      </c>
      <c r="H11" s="4">
        <v>58.29</v>
      </c>
      <c r="I11" s="4">
        <v>0.7</v>
      </c>
      <c r="J11" s="4">
        <v>0.87119999999999997</v>
      </c>
    </row>
    <row r="12" spans="1:20" ht="15" x14ac:dyDescent="0.25">
      <c r="A12" s="24" t="s">
        <v>25</v>
      </c>
      <c r="B12" s="25">
        <f>B2-B11</f>
        <v>43.617021276595743</v>
      </c>
      <c r="C12" s="26" t="s">
        <v>13</v>
      </c>
      <c r="E12" s="10">
        <v>11</v>
      </c>
      <c r="F12" s="15">
        <f t="shared" si="1"/>
        <v>0.71428571428571419</v>
      </c>
      <c r="G12" s="15">
        <f t="shared" si="0"/>
        <v>0.71428571428571419</v>
      </c>
      <c r="H12" s="4">
        <v>57.49</v>
      </c>
      <c r="I12" s="4">
        <v>0.8</v>
      </c>
      <c r="J12" s="4">
        <v>0.89500000000000002</v>
      </c>
    </row>
    <row r="13" spans="1:20" ht="15.6" x14ac:dyDescent="0.35">
      <c r="A13" s="27" t="s">
        <v>26</v>
      </c>
      <c r="B13" s="25" t="e">
        <f>(B4-M30)/(B4-L30-B4+M30)</f>
        <v>#N/A</v>
      </c>
      <c r="C13" s="26"/>
      <c r="E13" s="10">
        <v>12</v>
      </c>
      <c r="F13" s="15">
        <f t="shared" si="1"/>
        <v>0.7857142857142857</v>
      </c>
      <c r="G13" s="15">
        <f t="shared" si="0"/>
        <v>0.7857142857142857</v>
      </c>
      <c r="H13" s="4">
        <v>56.68</v>
      </c>
      <c r="I13" s="4">
        <v>0.9</v>
      </c>
      <c r="J13" s="4">
        <v>0.9335</v>
      </c>
    </row>
    <row r="14" spans="1:20" ht="15.6" x14ac:dyDescent="0.35">
      <c r="A14" s="24" t="s">
        <v>27</v>
      </c>
      <c r="B14" s="25" t="e">
        <f>B13*1.5</f>
        <v>#N/A</v>
      </c>
      <c r="C14" s="26"/>
      <c r="E14" s="10">
        <v>13</v>
      </c>
      <c r="F14" s="15">
        <f t="shared" si="1"/>
        <v>0.8571428571428571</v>
      </c>
      <c r="G14" s="15">
        <f t="shared" si="0"/>
        <v>0.8571428571428571</v>
      </c>
      <c r="H14" s="4">
        <v>56.3</v>
      </c>
      <c r="I14" s="4">
        <v>0.95</v>
      </c>
      <c r="J14" s="4">
        <v>0.9627</v>
      </c>
    </row>
    <row r="15" spans="1:20" x14ac:dyDescent="0.25">
      <c r="A15" s="27"/>
      <c r="B15" s="25"/>
      <c r="C15" s="26"/>
      <c r="E15" s="10">
        <v>14</v>
      </c>
      <c r="F15" s="15">
        <v>1</v>
      </c>
      <c r="G15" s="4">
        <v>1</v>
      </c>
      <c r="H15" s="4">
        <v>56.15</v>
      </c>
      <c r="I15" s="4">
        <v>1</v>
      </c>
      <c r="J15" s="4">
        <v>1</v>
      </c>
    </row>
    <row r="16" spans="1:20" x14ac:dyDescent="0.25">
      <c r="A16" s="24" t="s">
        <v>9</v>
      </c>
      <c r="B16" s="25"/>
      <c r="C16" s="26"/>
    </row>
    <row r="17" spans="1:1024" x14ac:dyDescent="0.25">
      <c r="A17" s="27" t="s">
        <v>28</v>
      </c>
      <c r="B17" s="25">
        <f>B10/(B10-1)</f>
        <v>2.4077046548956664</v>
      </c>
      <c r="C17" s="26"/>
      <c r="E17" s="2" t="s">
        <v>29</v>
      </c>
      <c r="F17" s="2"/>
    </row>
    <row r="18" spans="1:1024" ht="15.6" x14ac:dyDescent="0.35">
      <c r="A18" s="27" t="s">
        <v>30</v>
      </c>
      <c r="B18" s="25">
        <f>-B3/(B10-1)</f>
        <v>-0.77423756019261658</v>
      </c>
      <c r="C18" s="26"/>
      <c r="E18" s="29" t="s">
        <v>31</v>
      </c>
      <c r="F18" s="4">
        <v>518</v>
      </c>
    </row>
    <row r="19" spans="1:1024" x14ac:dyDescent="0.25">
      <c r="A19" s="27"/>
      <c r="B19" s="25"/>
      <c r="C19" s="26"/>
      <c r="E19" s="29" t="s">
        <v>32</v>
      </c>
      <c r="F19" s="4">
        <v>2.14</v>
      </c>
    </row>
    <row r="20" spans="1:1024" x14ac:dyDescent="0.25">
      <c r="A20" s="24" t="s">
        <v>33</v>
      </c>
      <c r="B20" s="25"/>
      <c r="C20" s="26"/>
      <c r="E20" s="29" t="s">
        <v>34</v>
      </c>
      <c r="F20" s="4">
        <v>1.29</v>
      </c>
    </row>
    <row r="21" spans="1:1024" ht="15.6" x14ac:dyDescent="0.35">
      <c r="A21" s="27" t="s">
        <v>35</v>
      </c>
      <c r="B21" s="25" t="e">
        <f>B14/(B14+1)</f>
        <v>#N/A</v>
      </c>
      <c r="C21" s="26"/>
      <c r="E21" s="29" t="s">
        <v>36</v>
      </c>
      <c r="F21" s="4">
        <v>2256</v>
      </c>
    </row>
    <row r="22" spans="1:1024" ht="15.6" x14ac:dyDescent="0.35">
      <c r="A22" s="27" t="s">
        <v>37</v>
      </c>
      <c r="B22" s="25" t="e">
        <f>B4/(B14+1)</f>
        <v>#N/A</v>
      </c>
      <c r="C22" s="26"/>
      <c r="E22" s="29" t="s">
        <v>38</v>
      </c>
      <c r="F22" s="4">
        <v>4.1870000000000003</v>
      </c>
    </row>
    <row r="23" spans="1:1024" x14ac:dyDescent="0.25">
      <c r="A23" s="27"/>
      <c r="B23" s="25"/>
      <c r="C23" s="26"/>
      <c r="E23" s="29" t="s">
        <v>39</v>
      </c>
      <c r="F23" s="4">
        <v>1.996</v>
      </c>
    </row>
    <row r="24" spans="1:1024" x14ac:dyDescent="0.25">
      <c r="A24" s="27" t="s">
        <v>40</v>
      </c>
      <c r="B24" s="25" t="e">
        <f>B14*B11</f>
        <v>#N/A</v>
      </c>
      <c r="C24" s="26"/>
      <c r="E24" s="1" t="s">
        <v>41</v>
      </c>
      <c r="F24" s="1"/>
    </row>
    <row r="25" spans="1:1024" x14ac:dyDescent="0.25">
      <c r="A25" s="27" t="s">
        <v>42</v>
      </c>
      <c r="B25" s="25" t="e">
        <f>B24+B11</f>
        <v>#N/A</v>
      </c>
      <c r="C25" s="26"/>
      <c r="E25" s="29" t="s">
        <v>43</v>
      </c>
      <c r="F25" s="4">
        <v>58.08</v>
      </c>
    </row>
    <row r="26" spans="1:1024" x14ac:dyDescent="0.25">
      <c r="A26" s="27"/>
      <c r="B26" s="25"/>
      <c r="C26" s="26"/>
      <c r="E26" s="29" t="s">
        <v>44</v>
      </c>
      <c r="F26" s="4">
        <v>18</v>
      </c>
    </row>
    <row r="27" spans="1:1024" x14ac:dyDescent="0.25">
      <c r="A27" s="24" t="s">
        <v>45</v>
      </c>
      <c r="B27" s="25"/>
      <c r="C27" s="26"/>
    </row>
    <row r="28" spans="1:1024" ht="15.6" x14ac:dyDescent="0.35">
      <c r="A28" s="27" t="s">
        <v>46</v>
      </c>
      <c r="B28" s="25" t="e">
        <f>(B22-$B$18)/($B$17-B21)</f>
        <v>#N/A</v>
      </c>
      <c r="C28" s="26"/>
      <c r="E28" s="28" t="s">
        <v>47</v>
      </c>
    </row>
    <row r="29" spans="1:1024" ht="15.6" x14ac:dyDescent="0.35">
      <c r="A29" s="27" t="s">
        <v>48</v>
      </c>
      <c r="B29" s="25" t="e">
        <f>B28*B17+B18</f>
        <v>#N/A</v>
      </c>
      <c r="C29" s="26"/>
      <c r="E29" s="30" t="s">
        <v>35</v>
      </c>
      <c r="F29" s="11" t="s">
        <v>49</v>
      </c>
      <c r="G29" s="11" t="s">
        <v>50</v>
      </c>
      <c r="H29" s="11" t="s">
        <v>51</v>
      </c>
      <c r="I29" s="11" t="s">
        <v>52</v>
      </c>
      <c r="J29" s="11" t="s">
        <v>9</v>
      </c>
      <c r="L29" s="31" t="s">
        <v>53</v>
      </c>
      <c r="O29" s="32" t="s">
        <v>54</v>
      </c>
      <c r="P29"/>
      <c r="Q29"/>
      <c r="R29"/>
      <c r="S29"/>
      <c r="AMB29"/>
      <c r="AMC29"/>
      <c r="AMD29"/>
      <c r="AME29"/>
      <c r="AMF29"/>
      <c r="AMG29"/>
      <c r="AMH29"/>
      <c r="AMI29"/>
      <c r="AMJ29"/>
    </row>
    <row r="30" spans="1:1024" x14ac:dyDescent="0.25">
      <c r="A30" s="27"/>
      <c r="B30" s="25"/>
      <c r="C30" s="26"/>
      <c r="E30" s="6">
        <v>0</v>
      </c>
      <c r="F30" s="4">
        <f t="shared" ref="F30:F61" si="2">E30/(1-E30)</f>
        <v>0</v>
      </c>
      <c r="G30" s="4">
        <f t="shared" ref="G30:G61" si="3">$B$4/(F30+1)</f>
        <v>0.96</v>
      </c>
      <c r="H30" s="4">
        <f t="shared" ref="H30:H61" si="4">IF($B$10&lt;&gt;1,(G30-$B$18)/($B$17-E30),$B$3)</f>
        <v>0.72028666666666663</v>
      </c>
      <c r="I30" s="4">
        <f t="shared" ref="I30:I61" si="5">IF($B$10&lt;&gt;1,H30*$B$17+$B$18,$B$3)</f>
        <v>0.96</v>
      </c>
      <c r="J30" s="4" t="e">
        <f t="shared" ref="J30:J61" si="6">IF(VLOOKUP(H30,equil,2,1)&gt;I30,I30,NA())</f>
        <v>#N/A</v>
      </c>
      <c r="L30" s="4" t="e">
        <f>INDEX(H30:H129,MATCH(M30,I30:I129,0))</f>
        <v>#N/A</v>
      </c>
      <c r="M30" s="33" t="e">
        <f>INDEX(J30:J129,MATCH(1,J30:J129&lt;&gt;"",0))</f>
        <v>#N/A</v>
      </c>
      <c r="O30" s="32" t="s">
        <v>55</v>
      </c>
      <c r="P30"/>
      <c r="Q30" s="34" t="s">
        <v>3</v>
      </c>
      <c r="R30" s="34" t="s">
        <v>2</v>
      </c>
      <c r="S30"/>
      <c r="AMB30"/>
      <c r="AMC30"/>
      <c r="AMD30"/>
      <c r="AME30"/>
      <c r="AMF30"/>
      <c r="AMG30"/>
      <c r="AMH30"/>
      <c r="AMI30"/>
      <c r="AMJ30"/>
    </row>
    <row r="31" spans="1:1024" x14ac:dyDescent="0.25">
      <c r="A31" s="24" t="s">
        <v>56</v>
      </c>
      <c r="B31" s="25"/>
      <c r="C31" s="26"/>
      <c r="E31" s="6">
        <v>0.01</v>
      </c>
      <c r="F31" s="4">
        <f t="shared" si="2"/>
        <v>1.0101010101010102E-2</v>
      </c>
      <c r="G31" s="4">
        <f t="shared" si="3"/>
        <v>0.95039999999999991</v>
      </c>
      <c r="H31" s="4">
        <f t="shared" si="4"/>
        <v>0.71928690494520564</v>
      </c>
      <c r="I31" s="4">
        <f t="shared" si="5"/>
        <v>0.95759286904945173</v>
      </c>
      <c r="J31" s="4" t="e">
        <f t="shared" si="6"/>
        <v>#N/A</v>
      </c>
      <c r="O31" s="32">
        <v>0</v>
      </c>
      <c r="P31"/>
      <c r="Q31" s="34"/>
      <c r="R31" s="34">
        <f>B4</f>
        <v>0.96</v>
      </c>
      <c r="S31"/>
      <c r="AMB31"/>
      <c r="AMC31"/>
      <c r="AMD31"/>
      <c r="AME31"/>
      <c r="AMF31"/>
      <c r="AMG31"/>
      <c r="AMH31"/>
      <c r="AMI31"/>
      <c r="AMJ31"/>
    </row>
    <row r="32" spans="1:1024" x14ac:dyDescent="0.25">
      <c r="A32" s="27" t="s">
        <v>57</v>
      </c>
      <c r="B32" s="25" t="e">
        <f>(B29-B5)/(B28-B5)</f>
        <v>#N/A</v>
      </c>
      <c r="C32" s="26"/>
      <c r="E32" s="6">
        <v>0.02</v>
      </c>
      <c r="F32" s="4">
        <f t="shared" si="2"/>
        <v>2.0408163265306124E-2</v>
      </c>
      <c r="G32" s="4">
        <f t="shared" si="3"/>
        <v>0.94079999999999997</v>
      </c>
      <c r="H32" s="4">
        <f t="shared" si="4"/>
        <v>0.71827876897427967</v>
      </c>
      <c r="I32" s="4">
        <f t="shared" si="5"/>
        <v>0.95516557537948565</v>
      </c>
      <c r="J32" s="4" t="e">
        <f t="shared" si="6"/>
        <v>#N/A</v>
      </c>
      <c r="L32"/>
      <c r="O32" s="32">
        <v>1</v>
      </c>
      <c r="P32" s="32" t="e">
        <f t="shared" ref="P32:P55" si="7">Q32</f>
        <v>#N/A</v>
      </c>
      <c r="Q32" s="32" t="e">
        <f t="shared" ref="Q32:Q55" si="8">IF(R31&gt;$B$5,IF(R31&gt;$B$28,$B$21*R31+$B$22,R31*$B$32+$B$33),NA())</f>
        <v>#N/A</v>
      </c>
      <c r="R32" s="32" t="e">
        <f>IF(ISNA(VLOOKUP(Q32,equil, 2,0)), INDEX(equil,MATCH(Q32,equil_y,1),1)+(Q32-INDEX(equil,MATCH(Q32,equil_y),2))*(INDEX(equil,MATCH(Q32,equil_y,1)+1,1)-INDEX(equil,MATCH(Q32,equil_y,1),1))/(INDEX(equil,MATCH(Q32,equil_y)+1,2)-INDEX(equil,MATCH(Q32,equil_y),2)), VLOOKUP(Q32,equil_xcurve, 2,0))</f>
        <v>#N/A</v>
      </c>
      <c r="S32" s="32" t="e">
        <f t="shared" ref="S32:S55" si="9">R32</f>
        <v>#N/A</v>
      </c>
      <c r="AMB32"/>
      <c r="AMC32"/>
      <c r="AMD32"/>
      <c r="AME32"/>
      <c r="AMF32"/>
      <c r="AMG32"/>
      <c r="AMH32"/>
      <c r="AMI32"/>
      <c r="AMJ32"/>
    </row>
    <row r="33" spans="1:1024" ht="15.6" x14ac:dyDescent="0.35">
      <c r="A33" s="27" t="s">
        <v>58</v>
      </c>
      <c r="B33" s="25" t="e">
        <f>$B$5-$B$5*(B29-$B$5)/(B28-$B$5)</f>
        <v>#N/A</v>
      </c>
      <c r="C33" s="26"/>
      <c r="E33" s="6">
        <v>0.03</v>
      </c>
      <c r="F33" s="4">
        <f t="shared" si="2"/>
        <v>3.0927835051546393E-2</v>
      </c>
      <c r="G33" s="4">
        <f t="shared" si="3"/>
        <v>0.93120000000000003</v>
      </c>
      <c r="H33" s="4">
        <f t="shared" si="4"/>
        <v>0.71726215309422059</v>
      </c>
      <c r="I33" s="4">
        <f t="shared" si="5"/>
        <v>0.95271786459282648</v>
      </c>
      <c r="J33" s="4" t="e">
        <f t="shared" si="6"/>
        <v>#N/A</v>
      </c>
      <c r="O33" s="32">
        <v>2</v>
      </c>
      <c r="P33" s="32" t="e">
        <f t="shared" si="7"/>
        <v>#N/A</v>
      </c>
      <c r="Q33" s="32" t="e">
        <f t="shared" si="8"/>
        <v>#N/A</v>
      </c>
      <c r="R33" s="32" t="e">
        <f>IF(ISNA(VLOOKUP(Q33,equil, 2,0)), INDEX(equil,MATCH(Q33,equil_y,1),1)+(Q33-INDEX(equil,MATCH(Q33,equil_y),2))*(INDEX(equil,MATCH(Q33,equil_y,1)+1,1)-INDEX(equil,MATCH(Q33,equil_y,1),1))/(INDEX(equil,MATCH(Q33,equil_y)+1,2)-INDEX(equil,MATCH(Q33,equil_y),2)), VLOOKUP(Q33,equil_xcurve, 2,0))</f>
        <v>#N/A</v>
      </c>
      <c r="S33" s="32" t="e">
        <f t="shared" si="9"/>
        <v>#N/A</v>
      </c>
      <c r="AMB33"/>
      <c r="AMC33"/>
      <c r="AMD33"/>
      <c r="AME33"/>
      <c r="AMF33"/>
      <c r="AMG33"/>
      <c r="AMH33"/>
      <c r="AMI33"/>
      <c r="AMJ33"/>
    </row>
    <row r="34" spans="1:1024" x14ac:dyDescent="0.25">
      <c r="A34" s="27"/>
      <c r="B34" s="25"/>
      <c r="C34" s="26"/>
      <c r="E34" s="6">
        <v>0.04</v>
      </c>
      <c r="F34" s="4">
        <f t="shared" si="2"/>
        <v>4.1666666666666671E-2</v>
      </c>
      <c r="G34" s="4">
        <f t="shared" si="3"/>
        <v>0.92159999999999986</v>
      </c>
      <c r="H34" s="4">
        <f t="shared" si="4"/>
        <v>0.71623694986034647</v>
      </c>
      <c r="I34" s="4">
        <f t="shared" si="5"/>
        <v>0.95024947799441373</v>
      </c>
      <c r="J34" s="4" t="e">
        <f t="shared" si="6"/>
        <v>#N/A</v>
      </c>
      <c r="O34" s="32">
        <v>3</v>
      </c>
      <c r="P34" s="32" t="e">
        <f t="shared" si="7"/>
        <v>#N/A</v>
      </c>
      <c r="Q34" s="32" t="e">
        <f t="shared" si="8"/>
        <v>#N/A</v>
      </c>
      <c r="R34" s="32" t="e">
        <f>IF(ISNA(VLOOKUP(Q34,equil, 2,0)), INDEX(equil,MATCH(Q34,equil_y,1),1)+(Q34-INDEX(equil,MATCH(Q34,equil_y),2))*(INDEX(equil,MATCH(Q34,equil_y,1)+1,1)-INDEX(equil,MATCH(Q34,equil_y,1),1))/(INDEX(equil,MATCH(Q34,equil_y)+1,2)-INDEX(equil,MATCH(Q34,equil_y),2)), VLOOKUP(Q34,equil_xcurve, 2,0))</f>
        <v>#N/A</v>
      </c>
      <c r="S34" s="32" t="e">
        <f t="shared" si="9"/>
        <v>#N/A</v>
      </c>
      <c r="AMB34"/>
      <c r="AMC34"/>
      <c r="AMD34"/>
      <c r="AME34"/>
      <c r="AMF34"/>
      <c r="AMG34"/>
      <c r="AMH34"/>
      <c r="AMI34"/>
      <c r="AMJ34"/>
    </row>
    <row r="35" spans="1:1024" x14ac:dyDescent="0.25">
      <c r="A35" s="35" t="s">
        <v>59</v>
      </c>
      <c r="B35" s="25" t="e">
        <f>$B$12*(B33-$B$5)/B33</f>
        <v>#N/A</v>
      </c>
      <c r="C35" s="26"/>
      <c r="E35" s="6">
        <v>0.05</v>
      </c>
      <c r="F35" s="4">
        <f t="shared" si="2"/>
        <v>5.2631578947368425E-2</v>
      </c>
      <c r="G35" s="4">
        <f t="shared" si="3"/>
        <v>0.91200000000000003</v>
      </c>
      <c r="H35" s="4">
        <f t="shared" si="4"/>
        <v>0.71520305000510598</v>
      </c>
      <c r="I35" s="4">
        <f t="shared" si="5"/>
        <v>0.94776015250025525</v>
      </c>
      <c r="J35" s="4" t="e">
        <f t="shared" si="6"/>
        <v>#N/A</v>
      </c>
      <c r="O35" s="32">
        <v>4</v>
      </c>
      <c r="P35" s="32" t="e">
        <f t="shared" si="7"/>
        <v>#N/A</v>
      </c>
      <c r="Q35" s="32" t="e">
        <f t="shared" si="8"/>
        <v>#N/A</v>
      </c>
      <c r="R35" s="32" t="e">
        <f>IF(ISNA(VLOOKUP(Q35,equil, 2,0)), INDEX(equil,MATCH(Q35,equil_y,1),1)+(Q35-INDEX(equil,MATCH(Q35,equil_y),2))*(INDEX(equil,MATCH(Q35,equil_y,1)+1,1)-INDEX(equil,MATCH(Q35,equil_y,1),1))/(INDEX(equil,MATCH(Q35,equil_y)+1,2)-INDEX(equil,MATCH(Q35,equil_y),2)), VLOOKUP(Q35,equil_xcurve, 2,0))</f>
        <v>#N/A</v>
      </c>
      <c r="S35" s="32" t="e">
        <f t="shared" si="9"/>
        <v>#N/A</v>
      </c>
      <c r="AMB35"/>
      <c r="AMC35"/>
      <c r="AMD35"/>
      <c r="AME35"/>
      <c r="AMF35"/>
      <c r="AMG35"/>
      <c r="AMH35"/>
      <c r="AMI35"/>
      <c r="AMJ35"/>
    </row>
    <row r="36" spans="1:1024" x14ac:dyDescent="0.25">
      <c r="A36" s="27" t="s">
        <v>60</v>
      </c>
      <c r="B36" s="25" t="e">
        <f>B35/B32</f>
        <v>#N/A</v>
      </c>
      <c r="C36" s="26"/>
      <c r="E36" s="6">
        <v>0.06</v>
      </c>
      <c r="F36" s="4">
        <f t="shared" si="2"/>
        <v>6.3829787234042548E-2</v>
      </c>
      <c r="G36" s="4">
        <f t="shared" si="3"/>
        <v>0.90239999999999998</v>
      </c>
      <c r="H36" s="4">
        <f t="shared" si="4"/>
        <v>0.71416034239925619</v>
      </c>
      <c r="I36" s="4">
        <f t="shared" si="5"/>
        <v>0.94524962054395556</v>
      </c>
      <c r="J36" s="4" t="e">
        <f t="shared" si="6"/>
        <v>#N/A</v>
      </c>
      <c r="O36" s="32">
        <v>5</v>
      </c>
      <c r="P36" s="32" t="e">
        <f t="shared" si="7"/>
        <v>#N/A</v>
      </c>
      <c r="Q36" s="32" t="e">
        <f t="shared" si="8"/>
        <v>#N/A</v>
      </c>
      <c r="R36" s="32" t="e">
        <f>IF(ISNA(VLOOKUP(Q36,equil, 2,0)), INDEX(equil,MATCH(Q36,equil_y,1),1)+(Q36-INDEX(equil,MATCH(Q36,equil_y),2))*(INDEX(equil,MATCH(Q36,equil_y,1)+1,1)-INDEX(equil,MATCH(Q36,equil_y,1),1))/(INDEX(equil,MATCH(Q36,equil_y)+1,2)-INDEX(equil,MATCH(Q36,equil_y),2)), VLOOKUP(Q36,equil_xcurve, 2,0))</f>
        <v>#N/A</v>
      </c>
      <c r="S36" s="32" t="e">
        <f t="shared" si="9"/>
        <v>#N/A</v>
      </c>
      <c r="AMB36"/>
      <c r="AMC36"/>
      <c r="AMD36"/>
      <c r="AME36"/>
      <c r="AMF36"/>
      <c r="AMG36"/>
      <c r="AMH36"/>
      <c r="AMI36"/>
      <c r="AMJ36"/>
    </row>
    <row r="37" spans="1:1024" x14ac:dyDescent="0.25">
      <c r="A37" s="27"/>
      <c r="B37" s="25"/>
      <c r="C37" s="26"/>
      <c r="E37" s="6">
        <v>7.0000000000000007E-2</v>
      </c>
      <c r="F37" s="4">
        <f t="shared" si="2"/>
        <v>7.5268817204301092E-2</v>
      </c>
      <c r="G37" s="4">
        <f t="shared" si="3"/>
        <v>0.89280000000000004</v>
      </c>
      <c r="H37" s="4">
        <f t="shared" si="4"/>
        <v>0.71310871401204345</v>
      </c>
      <c r="I37" s="4">
        <f t="shared" si="5"/>
        <v>0.94271760998084297</v>
      </c>
      <c r="J37" s="4" t="e">
        <f t="shared" si="6"/>
        <v>#N/A</v>
      </c>
      <c r="O37" s="32">
        <v>6</v>
      </c>
      <c r="P37" s="32" t="e">
        <f t="shared" si="7"/>
        <v>#N/A</v>
      </c>
      <c r="Q37" s="32" t="e">
        <f t="shared" si="8"/>
        <v>#N/A</v>
      </c>
      <c r="R37" s="32" t="e">
        <f>IF(ISNA(VLOOKUP(Q37,equil, 2,0)), INDEX(equil,MATCH(Q37,equil_y,1),1)+(Q37-INDEX(equil,MATCH(Q37,equil_y),2))*(INDEX(equil,MATCH(Q37,equil_y,1)+1,1)-INDEX(equil,MATCH(Q37,equil_y,1),1))/(INDEX(equil,MATCH(Q37,equil_y)+1,2)-INDEX(equil,MATCH(Q37,equil_y),2)), VLOOKUP(Q37,equil_xcurve, 2,0))</f>
        <v>#N/A</v>
      </c>
      <c r="S37" s="32" t="e">
        <f t="shared" si="9"/>
        <v>#N/A</v>
      </c>
      <c r="AMB37"/>
      <c r="AMC37"/>
      <c r="AMD37"/>
      <c r="AME37"/>
      <c r="AMF37"/>
      <c r="AMG37"/>
      <c r="AMH37"/>
      <c r="AMI37"/>
      <c r="AMJ37"/>
    </row>
    <row r="38" spans="1:1024" x14ac:dyDescent="0.25">
      <c r="A38" s="27" t="s">
        <v>61</v>
      </c>
      <c r="B38" s="25">
        <f>COUNT(Q32:Q55)</f>
        <v>0</v>
      </c>
      <c r="C38" s="26"/>
      <c r="E38" s="6">
        <v>0.08</v>
      </c>
      <c r="F38" s="4">
        <f t="shared" si="2"/>
        <v>8.6956521739130432E-2</v>
      </c>
      <c r="G38" s="4">
        <f t="shared" si="3"/>
        <v>0.88319999999999999</v>
      </c>
      <c r="H38" s="4">
        <f t="shared" si="4"/>
        <v>0.71204804987035919</v>
      </c>
      <c r="I38" s="4">
        <f t="shared" si="5"/>
        <v>0.94016384398962893</v>
      </c>
      <c r="J38" s="4" t="e">
        <f t="shared" si="6"/>
        <v>#N/A</v>
      </c>
      <c r="O38" s="32">
        <v>7</v>
      </c>
      <c r="P38" s="32" t="e">
        <f t="shared" si="7"/>
        <v>#N/A</v>
      </c>
      <c r="Q38" s="32" t="e">
        <f t="shared" si="8"/>
        <v>#N/A</v>
      </c>
      <c r="R38" s="32" t="e">
        <f>IF(ISNA(VLOOKUP(Q38,equil, 2,0)), INDEX(equil,MATCH(Q38,equil_y,1),1)+(Q38-INDEX(equil,MATCH(Q38,equil_y),2))*(INDEX(equil,MATCH(Q38,equil_y,1)+1,1)-INDEX(equil,MATCH(Q38,equil_y,1),1))/(INDEX(equil,MATCH(Q38,equil_y)+1,2)-INDEX(equil,MATCH(Q38,equil_y),2)), VLOOKUP(Q38,equil_xcurve, 2,0))</f>
        <v>#N/A</v>
      </c>
      <c r="S38" s="32" t="e">
        <f t="shared" si="9"/>
        <v>#N/A</v>
      </c>
      <c r="AMB38"/>
      <c r="AMC38"/>
      <c r="AMD38"/>
      <c r="AME38"/>
      <c r="AMF38"/>
      <c r="AMG38"/>
      <c r="AMH38"/>
      <c r="AMI38"/>
      <c r="AMJ38"/>
    </row>
    <row r="39" spans="1:1024" x14ac:dyDescent="0.25">
      <c r="A39" s="27" t="s">
        <v>62</v>
      </c>
      <c r="B39" s="25" t="e">
        <f>INDEX(O32:O55,MATCH(B3,R32:R55,-1)+1)</f>
        <v>#N/A</v>
      </c>
      <c r="C39" s="26"/>
      <c r="E39" s="6">
        <v>0.09</v>
      </c>
      <c r="F39" s="4">
        <f t="shared" si="2"/>
        <v>9.8901098901098897E-2</v>
      </c>
      <c r="G39" s="4">
        <f t="shared" si="3"/>
        <v>0.87359999999999993</v>
      </c>
      <c r="H39" s="4">
        <f t="shared" si="4"/>
        <v>0.71097823301683594</v>
      </c>
      <c r="I39" s="4">
        <f t="shared" si="5"/>
        <v>0.93758804097151516</v>
      </c>
      <c r="J39" s="4" t="e">
        <f t="shared" si="6"/>
        <v>#N/A</v>
      </c>
      <c r="O39" s="32">
        <v>8</v>
      </c>
      <c r="P39" s="32" t="e">
        <f t="shared" si="7"/>
        <v>#N/A</v>
      </c>
      <c r="Q39" s="32" t="e">
        <f t="shared" si="8"/>
        <v>#N/A</v>
      </c>
      <c r="R39" s="32" t="e">
        <f>IF(ISNA(VLOOKUP(Q39,equil, 2,0)), INDEX(equil,MATCH(Q39,equil_y,1),1)+(Q39-INDEX(equil,MATCH(Q39,equil_y),2))*(INDEX(equil,MATCH(Q39,equil_y,1)+1,1)-INDEX(equil,MATCH(Q39,equil_y,1),1))/(INDEX(equil,MATCH(Q39,equil_y)+1,2)-INDEX(equil,MATCH(Q39,equil_y),2)), VLOOKUP(Q39,equil_xcurve, 2,0))</f>
        <v>#N/A</v>
      </c>
      <c r="S39" s="32" t="e">
        <f t="shared" si="9"/>
        <v>#N/A</v>
      </c>
      <c r="AMB39"/>
      <c r="AMC39"/>
      <c r="AMD39"/>
      <c r="AME39"/>
      <c r="AMF39"/>
      <c r="AMG39"/>
      <c r="AMH39"/>
      <c r="AMI39"/>
      <c r="AMJ39"/>
    </row>
    <row r="40" spans="1:1024" x14ac:dyDescent="0.25">
      <c r="A40" s="27"/>
      <c r="B40" s="25"/>
      <c r="C40" s="26"/>
      <c r="E40" s="6">
        <v>0.1</v>
      </c>
      <c r="F40" s="4">
        <f t="shared" si="2"/>
        <v>0.11111111111111112</v>
      </c>
      <c r="G40" s="4">
        <f t="shared" si="3"/>
        <v>0.86399999999999988</v>
      </c>
      <c r="H40" s="4">
        <f t="shared" si="4"/>
        <v>0.70989914446685676</v>
      </c>
      <c r="I40" s="4">
        <f t="shared" si="5"/>
        <v>0.93498991444668555</v>
      </c>
      <c r="J40" s="4" t="e">
        <f t="shared" si="6"/>
        <v>#N/A</v>
      </c>
      <c r="O40" s="32">
        <v>9</v>
      </c>
      <c r="P40" s="32" t="e">
        <f t="shared" si="7"/>
        <v>#N/A</v>
      </c>
      <c r="Q40" s="32" t="e">
        <f t="shared" si="8"/>
        <v>#N/A</v>
      </c>
      <c r="R40" s="32" t="e">
        <f>IF(ISNA(VLOOKUP(Q40,equil, 2,0)), INDEX(equil,MATCH(Q40,equil_y,1),1)+(Q40-INDEX(equil,MATCH(Q40,equil_y),2))*(INDEX(equil,MATCH(Q40,equil_y,1)+1,1)-INDEX(equil,MATCH(Q40,equil_y,1),1))/(INDEX(equil,MATCH(Q40,equil_y)+1,2)-INDEX(equil,MATCH(Q40,equil_y),2)), VLOOKUP(Q40,equil_xcurve, 2,0))</f>
        <v>#N/A</v>
      </c>
      <c r="S40" s="32" t="e">
        <f t="shared" si="9"/>
        <v>#N/A</v>
      </c>
      <c r="AMB40"/>
      <c r="AMC40"/>
      <c r="AMD40"/>
      <c r="AME40"/>
      <c r="AMF40"/>
      <c r="AMG40"/>
      <c r="AMH40"/>
      <c r="AMI40"/>
      <c r="AMJ40"/>
    </row>
    <row r="41" spans="1:1024" x14ac:dyDescent="0.25">
      <c r="A41" s="27" t="s">
        <v>63</v>
      </c>
      <c r="B41" s="25" t="e">
        <f>B36*((1-$B$4)*$F$26*$F$21+$B$4*$F$25*$F$18)/1000</f>
        <v>#N/A</v>
      </c>
      <c r="C41" s="26" t="s">
        <v>64</v>
      </c>
      <c r="E41" s="6">
        <v>0.11</v>
      </c>
      <c r="F41" s="4">
        <f t="shared" si="2"/>
        <v>0.12359550561797752</v>
      </c>
      <c r="G41" s="4">
        <f t="shared" si="3"/>
        <v>0.85439999999999994</v>
      </c>
      <c r="H41" s="4">
        <f t="shared" si="4"/>
        <v>0.7088106631644393</v>
      </c>
      <c r="I41" s="4">
        <f t="shared" si="5"/>
        <v>0.9323691729480883</v>
      </c>
      <c r="J41" s="4" t="e">
        <f t="shared" si="6"/>
        <v>#N/A</v>
      </c>
      <c r="O41" s="32">
        <v>10</v>
      </c>
      <c r="P41" s="32" t="e">
        <f t="shared" si="7"/>
        <v>#N/A</v>
      </c>
      <c r="Q41" s="32" t="e">
        <f t="shared" si="8"/>
        <v>#N/A</v>
      </c>
      <c r="R41" s="32" t="e">
        <f>IF(ISNA(VLOOKUP(Q41,equil, 2,0)), INDEX(equil,MATCH(Q41,equil_y,1),1)+(Q41-INDEX(equil,MATCH(Q41,equil_y),2))*(INDEX(equil,MATCH(Q41,equil_y,1)+1,1)-INDEX(equil,MATCH(Q41,equil_y,1),1))/(INDEX(equil,MATCH(Q41,equil_y)+1,2)-INDEX(equil,MATCH(Q41,equil_y),2)), VLOOKUP(Q41,equil_xcurve, 2,0))</f>
        <v>#N/A</v>
      </c>
      <c r="S41" s="32" t="e">
        <f t="shared" si="9"/>
        <v>#N/A</v>
      </c>
      <c r="AMB41"/>
      <c r="AMC41"/>
      <c r="AMD41"/>
      <c r="AME41"/>
      <c r="AMF41"/>
      <c r="AMG41"/>
      <c r="AMH41"/>
      <c r="AMI41"/>
      <c r="AMJ41"/>
    </row>
    <row r="42" spans="1:1024" x14ac:dyDescent="0.25">
      <c r="A42" s="36" t="s">
        <v>65</v>
      </c>
      <c r="B42" s="37" t="e">
        <f>B25*((1-$B$4)*$F$26*$F$21+$B$4*$F$25*$F$18)/1000</f>
        <v>#N/A</v>
      </c>
      <c r="C42" s="38" t="s">
        <v>64</v>
      </c>
      <c r="E42" s="6">
        <v>0.12</v>
      </c>
      <c r="F42" s="4">
        <f t="shared" si="2"/>
        <v>0.13636363636363635</v>
      </c>
      <c r="G42" s="4">
        <f t="shared" si="3"/>
        <v>0.84480000000000011</v>
      </c>
      <c r="H42" s="4">
        <f t="shared" si="4"/>
        <v>0.70771266593696514</v>
      </c>
      <c r="I42" s="4">
        <f t="shared" si="5"/>
        <v>0.92972551991243613</v>
      </c>
      <c r="J42" s="4" t="e">
        <f t="shared" si="6"/>
        <v>#N/A</v>
      </c>
      <c r="O42" s="32">
        <v>11</v>
      </c>
      <c r="P42" s="32" t="e">
        <f t="shared" si="7"/>
        <v>#N/A</v>
      </c>
      <c r="Q42" s="32" t="e">
        <f t="shared" si="8"/>
        <v>#N/A</v>
      </c>
      <c r="R42" s="32" t="e">
        <f>IF(ISNA(VLOOKUP(Q42,equil, 2,0)), INDEX(equil,MATCH(Q42,equil_y,1),1)+(Q42-INDEX(equil,MATCH(Q42,equil_y),2))*(INDEX(equil,MATCH(Q42,equil_y,1)+1,1)-INDEX(equil,MATCH(Q42,equil_y,1),1))/(INDEX(equil,MATCH(Q42,equil_y)+1,2)-INDEX(equil,MATCH(Q42,equil_y),2)), VLOOKUP(Q42,equil_xcurve, 2,0))</f>
        <v>#N/A</v>
      </c>
      <c r="S42" s="32" t="e">
        <f t="shared" si="9"/>
        <v>#N/A</v>
      </c>
      <c r="AMB42"/>
      <c r="AMC42"/>
      <c r="AMD42"/>
      <c r="AME42"/>
      <c r="AMF42"/>
      <c r="AMG42"/>
      <c r="AMH42"/>
      <c r="AMI42"/>
      <c r="AMJ42"/>
    </row>
    <row r="43" spans="1:1024" x14ac:dyDescent="0.25">
      <c r="E43" s="6">
        <v>0.13</v>
      </c>
      <c r="F43" s="4">
        <f t="shared" si="2"/>
        <v>0.14942528735632185</v>
      </c>
      <c r="G43" s="4">
        <f t="shared" si="3"/>
        <v>0.83520000000000005</v>
      </c>
      <c r="H43" s="4">
        <f t="shared" si="4"/>
        <v>0.70660502744871423</v>
      </c>
      <c r="I43" s="4">
        <f t="shared" si="5"/>
        <v>0.92705865356833272</v>
      </c>
      <c r="J43" s="4" t="e">
        <f t="shared" si="6"/>
        <v>#N/A</v>
      </c>
      <c r="O43" s="32">
        <v>12</v>
      </c>
      <c r="P43" s="32" t="e">
        <f t="shared" si="7"/>
        <v>#N/A</v>
      </c>
      <c r="Q43" s="32" t="e">
        <f t="shared" si="8"/>
        <v>#N/A</v>
      </c>
      <c r="R43" s="32" t="e">
        <f>IF(ISNA(VLOOKUP(Q43,equil, 2,0)), INDEX(equil,MATCH(Q43,equil_y,1),1)+(Q43-INDEX(equil,MATCH(Q43,equil_y),2))*(INDEX(equil,MATCH(Q43,equil_y,1)+1,1)-INDEX(equil,MATCH(Q43,equil_y,1),1))/(INDEX(equil,MATCH(Q43,equil_y)+1,2)-INDEX(equil,MATCH(Q43,equil_y),2)), VLOOKUP(Q43,equil_xcurve, 2,0))</f>
        <v>#N/A</v>
      </c>
      <c r="S43" s="32" t="e">
        <f t="shared" si="9"/>
        <v>#N/A</v>
      </c>
      <c r="AMB43"/>
      <c r="AMC43"/>
      <c r="AMD43"/>
      <c r="AME43"/>
      <c r="AMF43"/>
      <c r="AMG43"/>
      <c r="AMH43"/>
      <c r="AMI43"/>
      <c r="AMJ43"/>
    </row>
    <row r="44" spans="1:1024" x14ac:dyDescent="0.25">
      <c r="E44" s="6">
        <v>0.14000000000000001</v>
      </c>
      <c r="F44" s="4">
        <f t="shared" si="2"/>
        <v>0.16279069767441862</v>
      </c>
      <c r="G44" s="4">
        <f t="shared" si="3"/>
        <v>0.82559999999999989</v>
      </c>
      <c r="H44" s="4">
        <f t="shared" si="4"/>
        <v>0.70548762015317312</v>
      </c>
      <c r="I44" s="4">
        <f t="shared" si="5"/>
        <v>0.92436826682144413</v>
      </c>
      <c r="J44" s="4" t="e">
        <f t="shared" si="6"/>
        <v>#N/A</v>
      </c>
      <c r="O44" s="32">
        <v>13</v>
      </c>
      <c r="P44" s="32" t="e">
        <f t="shared" si="7"/>
        <v>#N/A</v>
      </c>
      <c r="Q44" s="32" t="e">
        <f t="shared" si="8"/>
        <v>#N/A</v>
      </c>
      <c r="R44" s="32" t="e">
        <f>IF(ISNA(VLOOKUP(Q44,equil, 2,0)), INDEX(equil,MATCH(Q44,equil_y,1),1)+(Q44-INDEX(equil,MATCH(Q44,equil_y),2))*(INDEX(equil,MATCH(Q44,equil_y,1)+1,1)-INDEX(equil,MATCH(Q44,equil_y,1),1))/(INDEX(equil,MATCH(Q44,equil_y)+1,2)-INDEX(equil,MATCH(Q44,equil_y),2)), VLOOKUP(Q44,equil_xcurve, 2,0))</f>
        <v>#N/A</v>
      </c>
      <c r="S44" s="32" t="e">
        <f t="shared" si="9"/>
        <v>#N/A</v>
      </c>
      <c r="AMB44"/>
      <c r="AMC44"/>
      <c r="AMD44"/>
      <c r="AME44"/>
      <c r="AMF44"/>
      <c r="AMG44"/>
      <c r="AMH44"/>
      <c r="AMI44"/>
      <c r="AMJ44"/>
    </row>
    <row r="45" spans="1:1024" x14ac:dyDescent="0.25">
      <c r="E45" s="6">
        <v>0.15</v>
      </c>
      <c r="F45" s="4">
        <f t="shared" si="2"/>
        <v>0.17647058823529413</v>
      </c>
      <c r="G45" s="4">
        <f t="shared" si="3"/>
        <v>0.81599999999999995</v>
      </c>
      <c r="H45" s="4">
        <f t="shared" si="4"/>
        <v>0.70436031424407231</v>
      </c>
      <c r="I45" s="4">
        <f t="shared" si="5"/>
        <v>0.92165404713661059</v>
      </c>
      <c r="J45" s="4" t="e">
        <f t="shared" si="6"/>
        <v>#N/A</v>
      </c>
      <c r="O45" s="32">
        <v>14</v>
      </c>
      <c r="P45" s="32" t="e">
        <f t="shared" si="7"/>
        <v>#N/A</v>
      </c>
      <c r="Q45" s="32" t="e">
        <f t="shared" si="8"/>
        <v>#N/A</v>
      </c>
      <c r="R45" s="32" t="e">
        <f>IF(ISNA(VLOOKUP(Q45,equil, 2,0)), INDEX(equil,MATCH(Q45,equil_y,1),1)+(Q45-INDEX(equil,MATCH(Q45,equil_y),2))*(INDEX(equil,MATCH(Q45,equil_y,1)+1,1)-INDEX(equil,MATCH(Q45,equil_y,1),1))/(INDEX(equil,MATCH(Q45,equil_y)+1,2)-INDEX(equil,MATCH(Q45,equil_y),2)), VLOOKUP(Q45,equil_xcurve, 2,0))</f>
        <v>#N/A</v>
      </c>
      <c r="S45" s="32" t="e">
        <f t="shared" si="9"/>
        <v>#N/A</v>
      </c>
      <c r="AMB45"/>
      <c r="AMC45"/>
      <c r="AMD45"/>
      <c r="AME45"/>
      <c r="AMF45"/>
      <c r="AMG45"/>
      <c r="AMH45"/>
      <c r="AMI45"/>
      <c r="AMJ45"/>
    </row>
    <row r="46" spans="1:1024" x14ac:dyDescent="0.25">
      <c r="E46" s="6">
        <v>0.16</v>
      </c>
      <c r="F46" s="4">
        <f t="shared" si="2"/>
        <v>0.19047619047619049</v>
      </c>
      <c r="G46" s="4">
        <f t="shared" si="3"/>
        <v>0.80640000000000001</v>
      </c>
      <c r="H46" s="4">
        <f t="shared" si="4"/>
        <v>0.70322297760511887</v>
      </c>
      <c r="I46" s="4">
        <f t="shared" si="5"/>
        <v>0.91891567641681915</v>
      </c>
      <c r="J46" s="4" t="e">
        <f t="shared" si="6"/>
        <v>#N/A</v>
      </c>
      <c r="O46" s="32">
        <v>15</v>
      </c>
      <c r="P46" s="32" t="e">
        <f t="shared" si="7"/>
        <v>#N/A</v>
      </c>
      <c r="Q46" s="32" t="e">
        <f t="shared" si="8"/>
        <v>#N/A</v>
      </c>
      <c r="R46" s="32" t="e">
        <f>IF(ISNA(VLOOKUP(Q46,equil, 2,0)), INDEX(equil,MATCH(Q46,equil_y,1),1)+(Q46-INDEX(equil,MATCH(Q46,equil_y),2))*(INDEX(equil,MATCH(Q46,equil_y,1)+1,1)-INDEX(equil,MATCH(Q46,equil_y,1),1))/(INDEX(equil,MATCH(Q46,equil_y)+1,2)-INDEX(equil,MATCH(Q46,equil_y),2)), VLOOKUP(Q46,equil_xcurve, 2,0))</f>
        <v>#N/A</v>
      </c>
      <c r="S46" s="32" t="e">
        <f t="shared" si="9"/>
        <v>#N/A</v>
      </c>
      <c r="AMB46"/>
      <c r="AMC46"/>
      <c r="AMD46"/>
      <c r="AME46"/>
      <c r="AMF46"/>
      <c r="AMG46"/>
      <c r="AMH46"/>
      <c r="AMI46"/>
      <c r="AMJ46"/>
    </row>
    <row r="47" spans="1:1024" x14ac:dyDescent="0.25">
      <c r="E47" s="6">
        <v>0.17</v>
      </c>
      <c r="F47" s="4">
        <f t="shared" si="2"/>
        <v>0.20481927710843376</v>
      </c>
      <c r="G47" s="4">
        <f t="shared" si="3"/>
        <v>0.79679999999999995</v>
      </c>
      <c r="H47" s="4">
        <f t="shared" si="4"/>
        <v>0.70207547575838003</v>
      </c>
      <c r="I47" s="4">
        <f t="shared" si="5"/>
        <v>0.91615283087892463</v>
      </c>
      <c r="J47" s="4" t="e">
        <f t="shared" si="6"/>
        <v>#N/A</v>
      </c>
      <c r="O47" s="32">
        <v>16</v>
      </c>
      <c r="P47" s="32" t="e">
        <f t="shared" si="7"/>
        <v>#N/A</v>
      </c>
      <c r="Q47" s="32" t="e">
        <f t="shared" si="8"/>
        <v>#N/A</v>
      </c>
      <c r="R47" s="32" t="e">
        <f>IF(ISNA(VLOOKUP(Q47,equil, 2,0)), INDEX(equil,MATCH(Q47,equil_y,1),1)+(Q47-INDEX(equil,MATCH(Q47,equil_y),2))*(INDEX(equil,MATCH(Q47,equil_y,1)+1,1)-INDEX(equil,MATCH(Q47,equil_y,1),1))/(INDEX(equil,MATCH(Q47,equil_y)+1,2)-INDEX(equil,MATCH(Q47,equil_y),2)), VLOOKUP(Q47,equil_xcurve, 2,0))</f>
        <v>#N/A</v>
      </c>
      <c r="S47" s="32" t="e">
        <f t="shared" si="9"/>
        <v>#N/A</v>
      </c>
      <c r="AMB47"/>
      <c r="AMC47"/>
      <c r="AMD47"/>
      <c r="AME47"/>
      <c r="AMF47"/>
      <c r="AMG47"/>
      <c r="AMH47"/>
      <c r="AMI47"/>
      <c r="AMJ47"/>
    </row>
    <row r="48" spans="1:1024" x14ac:dyDescent="0.25">
      <c r="E48" s="6">
        <v>0.18</v>
      </c>
      <c r="F48" s="4">
        <f t="shared" si="2"/>
        <v>0.21951219512195119</v>
      </c>
      <c r="G48" s="4">
        <f t="shared" si="3"/>
        <v>0.78720000000000001</v>
      </c>
      <c r="H48" s="4">
        <f t="shared" si="4"/>
        <v>0.70091767181127784</v>
      </c>
      <c r="I48" s="4">
        <f t="shared" si="5"/>
        <v>0.91336518092603014</v>
      </c>
      <c r="J48" s="4" t="e">
        <f t="shared" si="6"/>
        <v>#N/A</v>
      </c>
      <c r="O48" s="32">
        <v>17</v>
      </c>
      <c r="P48" s="32" t="e">
        <f t="shared" si="7"/>
        <v>#N/A</v>
      </c>
      <c r="Q48" s="32" t="e">
        <f t="shared" si="8"/>
        <v>#N/A</v>
      </c>
      <c r="R48" s="32" t="e">
        <f>IF(ISNA(VLOOKUP(Q48,equil, 2,0)), INDEX(equil,MATCH(Q48,equil_y,1),1)+(Q48-INDEX(equil,MATCH(Q48,equil_y),2))*(INDEX(equil,MATCH(Q48,equil_y,1)+1,1)-INDEX(equil,MATCH(Q48,equil_y,1),1))/(INDEX(equil,MATCH(Q48,equil_y)+1,2)-INDEX(equil,MATCH(Q48,equil_y),2)), VLOOKUP(Q48,equil_xcurve, 2,0))</f>
        <v>#N/A</v>
      </c>
      <c r="S48" s="32" t="e">
        <f t="shared" si="9"/>
        <v>#N/A</v>
      </c>
      <c r="AMB48"/>
      <c r="AMC48"/>
      <c r="AMD48"/>
      <c r="AME48"/>
      <c r="AMF48"/>
      <c r="AMG48"/>
      <c r="AMH48"/>
      <c r="AMI48"/>
      <c r="AMJ48"/>
    </row>
    <row r="49" spans="5:1024" x14ac:dyDescent="0.25">
      <c r="E49" s="6">
        <v>0.19</v>
      </c>
      <c r="F49" s="4">
        <f t="shared" si="2"/>
        <v>0.23456790123456789</v>
      </c>
      <c r="G49" s="4">
        <f t="shared" si="3"/>
        <v>0.77760000000000007</v>
      </c>
      <c r="H49" s="4">
        <f t="shared" si="4"/>
        <v>0.69974942640214821</v>
      </c>
      <c r="I49" s="4">
        <f t="shared" si="5"/>
        <v>0.91055239101640817</v>
      </c>
      <c r="J49" s="4" t="e">
        <f t="shared" si="6"/>
        <v>#N/A</v>
      </c>
      <c r="O49" s="32">
        <v>18</v>
      </c>
      <c r="P49" s="32" t="e">
        <f t="shared" si="7"/>
        <v>#N/A</v>
      </c>
      <c r="Q49" s="32" t="e">
        <f t="shared" si="8"/>
        <v>#N/A</v>
      </c>
      <c r="R49" s="32" t="e">
        <f>IF(ISNA(VLOOKUP(Q49,equil, 2,0)), INDEX(equil,MATCH(Q49,equil_y,1),1)+(Q49-INDEX(equil,MATCH(Q49,equil_y),2))*(INDEX(equil,MATCH(Q49,equil_y,1)+1,1)-INDEX(equil,MATCH(Q49,equil_y,1),1))/(INDEX(equil,MATCH(Q49,equil_y)+1,2)-INDEX(equil,MATCH(Q49,equil_y),2)), VLOOKUP(Q49,equil_xcurve, 2,0))</f>
        <v>#N/A</v>
      </c>
      <c r="S49" s="32" t="e">
        <f t="shared" si="9"/>
        <v>#N/A</v>
      </c>
      <c r="AMB49"/>
      <c r="AMC49"/>
      <c r="AMD49"/>
      <c r="AME49"/>
      <c r="AMF49"/>
      <c r="AMG49"/>
      <c r="AMH49"/>
      <c r="AMI49"/>
      <c r="AMJ49"/>
    </row>
    <row r="50" spans="5:1024" x14ac:dyDescent="0.25">
      <c r="E50" s="6">
        <v>0.2</v>
      </c>
      <c r="F50" s="4">
        <f t="shared" si="2"/>
        <v>0.25</v>
      </c>
      <c r="G50" s="4">
        <f t="shared" si="3"/>
        <v>0.76800000000000002</v>
      </c>
      <c r="H50" s="4">
        <f t="shared" si="4"/>
        <v>0.69857059764432172</v>
      </c>
      <c r="I50" s="4">
        <f t="shared" si="5"/>
        <v>0.90771411952886449</v>
      </c>
      <c r="J50" s="4" t="e">
        <f t="shared" si="6"/>
        <v>#N/A</v>
      </c>
      <c r="O50" s="32">
        <v>19</v>
      </c>
      <c r="P50" s="32" t="e">
        <f t="shared" si="7"/>
        <v>#N/A</v>
      </c>
      <c r="Q50" s="32" t="e">
        <f t="shared" si="8"/>
        <v>#N/A</v>
      </c>
      <c r="R50" s="32" t="e">
        <f>IF(ISNA(VLOOKUP(Q50,equil, 2,0)), INDEX(equil,MATCH(Q50,equil_y,1),1)+(Q50-INDEX(equil,MATCH(Q50,equil_y),2))*(INDEX(equil,MATCH(Q50,equil_y,1)+1,1)-INDEX(equil,MATCH(Q50,equil_y,1),1))/(INDEX(equil,MATCH(Q50,equil_y)+1,2)-INDEX(equil,MATCH(Q50,equil_y),2)), VLOOKUP(Q50,equil_xcurve, 2,0))</f>
        <v>#N/A</v>
      </c>
      <c r="S50" s="32" t="e">
        <f t="shared" si="9"/>
        <v>#N/A</v>
      </c>
      <c r="AMB50"/>
      <c r="AMC50"/>
      <c r="AMD50"/>
      <c r="AME50"/>
      <c r="AMF50"/>
      <c r="AMG50"/>
      <c r="AMH50"/>
      <c r="AMI50"/>
      <c r="AMJ50"/>
    </row>
    <row r="51" spans="5:1024" x14ac:dyDescent="0.25">
      <c r="E51" s="6">
        <v>0.21</v>
      </c>
      <c r="F51" s="4">
        <f t="shared" si="2"/>
        <v>0.26582278481012656</v>
      </c>
      <c r="G51" s="4">
        <f t="shared" si="3"/>
        <v>0.75839999999999996</v>
      </c>
      <c r="H51" s="4">
        <f t="shared" si="4"/>
        <v>0.6973810410686766</v>
      </c>
      <c r="I51" s="4">
        <f t="shared" si="5"/>
        <v>0.90485001862442194</v>
      </c>
      <c r="J51" s="4" t="e">
        <f t="shared" si="6"/>
        <v>#N/A</v>
      </c>
      <c r="O51" s="32">
        <v>20</v>
      </c>
      <c r="P51" s="32" t="e">
        <f t="shared" si="7"/>
        <v>#N/A</v>
      </c>
      <c r="Q51" s="32" t="e">
        <f t="shared" si="8"/>
        <v>#N/A</v>
      </c>
      <c r="R51" s="32" t="e">
        <f>IF(ISNA(VLOOKUP(Q51,equil, 2,0)), INDEX(equil,MATCH(Q51,equil_y,1),1)+(Q51-INDEX(equil,MATCH(Q51,equil_y),2))*(INDEX(equil,MATCH(Q51,equil_y,1)+1,1)-INDEX(equil,MATCH(Q51,equil_y,1),1))/(INDEX(equil,MATCH(Q51,equil_y)+1,2)-INDEX(equil,MATCH(Q51,equil_y),2)), VLOOKUP(Q51,equil_xcurve, 2,0))</f>
        <v>#N/A</v>
      </c>
      <c r="S51" s="32" t="e">
        <f t="shared" si="9"/>
        <v>#N/A</v>
      </c>
      <c r="AMB51"/>
      <c r="AMC51"/>
      <c r="AMD51"/>
      <c r="AME51"/>
      <c r="AMF51"/>
      <c r="AMG51"/>
      <c r="AMH51"/>
      <c r="AMI51"/>
      <c r="AMJ51"/>
    </row>
    <row r="52" spans="5:1024" x14ac:dyDescent="0.25">
      <c r="E52" s="6">
        <v>0.22</v>
      </c>
      <c r="F52" s="4">
        <f t="shared" si="2"/>
        <v>0.28205128205128205</v>
      </c>
      <c r="G52" s="4">
        <f t="shared" si="3"/>
        <v>0.74880000000000002</v>
      </c>
      <c r="H52" s="4">
        <f t="shared" si="4"/>
        <v>0.6961806095646178</v>
      </c>
      <c r="I52" s="4">
        <f t="shared" si="5"/>
        <v>0.90195973410421626</v>
      </c>
      <c r="J52" s="4" t="e">
        <f t="shared" si="6"/>
        <v>#N/A</v>
      </c>
      <c r="O52" s="32">
        <v>21</v>
      </c>
      <c r="P52" s="32" t="e">
        <f t="shared" si="7"/>
        <v>#N/A</v>
      </c>
      <c r="Q52" s="32" t="e">
        <f t="shared" si="8"/>
        <v>#N/A</v>
      </c>
      <c r="R52" s="32" t="e">
        <f>IF(ISNA(VLOOKUP(Q52,equil, 2,0)), INDEX(equil,MATCH(Q52,equil_y,1),1)+(Q52-INDEX(equil,MATCH(Q52,equil_y),2))*(INDEX(equil,MATCH(Q52,equil_y,1)+1,1)-INDEX(equil,MATCH(Q52,equil_y,1),1))/(INDEX(equil,MATCH(Q52,equil_y)+1,2)-INDEX(equil,MATCH(Q52,equil_y),2)), VLOOKUP(Q52,equil_xcurve, 2,0))</f>
        <v>#N/A</v>
      </c>
      <c r="S52" s="32" t="e">
        <f t="shared" si="9"/>
        <v>#N/A</v>
      </c>
      <c r="AMB52"/>
      <c r="AMC52"/>
      <c r="AMD52"/>
      <c r="AME52"/>
      <c r="AMF52"/>
      <c r="AMG52"/>
      <c r="AMH52"/>
      <c r="AMI52"/>
      <c r="AMJ52"/>
    </row>
    <row r="53" spans="5:1024" x14ac:dyDescent="0.25">
      <c r="E53" s="6">
        <v>0.23</v>
      </c>
      <c r="F53" s="4">
        <f t="shared" si="2"/>
        <v>0.29870129870129869</v>
      </c>
      <c r="G53" s="4">
        <f t="shared" si="3"/>
        <v>0.73919999999999997</v>
      </c>
      <c r="H53" s="4">
        <f t="shared" si="4"/>
        <v>0.6949691533194271</v>
      </c>
      <c r="I53" s="4">
        <f t="shared" si="5"/>
        <v>0.89904290526346808</v>
      </c>
      <c r="J53" s="4" t="e">
        <f t="shared" si="6"/>
        <v>#N/A</v>
      </c>
      <c r="O53" s="32">
        <v>22</v>
      </c>
      <c r="P53" s="32" t="e">
        <f t="shared" si="7"/>
        <v>#N/A</v>
      </c>
      <c r="Q53" s="32" t="e">
        <f t="shared" si="8"/>
        <v>#N/A</v>
      </c>
      <c r="R53" s="32" t="e">
        <f>IF(ISNA(VLOOKUP(Q53,equil, 2,0)), INDEX(equil,MATCH(Q53,equil_y,1),1)+(Q53-INDEX(equil,MATCH(Q53,equil_y),2))*(INDEX(equil,MATCH(Q53,equil_y,1)+1,1)-INDEX(equil,MATCH(Q53,equil_y,1),1))/(INDEX(equil,MATCH(Q53,equil_y)+1,2)-INDEX(equil,MATCH(Q53,equil_y),2)), VLOOKUP(Q53,equil_xcurve, 2,0))</f>
        <v>#N/A</v>
      </c>
      <c r="S53" s="32" t="e">
        <f t="shared" si="9"/>
        <v>#N/A</v>
      </c>
      <c r="AMB53"/>
      <c r="AMC53"/>
      <c r="AMD53"/>
      <c r="AME53"/>
      <c r="AMF53"/>
      <c r="AMG53"/>
      <c r="AMH53"/>
      <c r="AMI53"/>
      <c r="AMJ53"/>
    </row>
    <row r="54" spans="5:1024" x14ac:dyDescent="0.25">
      <c r="E54" s="6">
        <v>0.24</v>
      </c>
      <c r="F54" s="4">
        <f t="shared" si="2"/>
        <v>0.31578947368421051</v>
      </c>
      <c r="G54" s="4">
        <f t="shared" si="3"/>
        <v>0.72959999999999992</v>
      </c>
      <c r="H54" s="4">
        <f t="shared" si="4"/>
        <v>0.69374651975593871</v>
      </c>
      <c r="I54" s="4">
        <f t="shared" si="5"/>
        <v>0.89609916474142537</v>
      </c>
      <c r="J54" s="4" t="e">
        <f t="shared" si="6"/>
        <v>#N/A</v>
      </c>
      <c r="O54" s="32">
        <v>23</v>
      </c>
      <c r="P54" s="32" t="e">
        <f t="shared" si="7"/>
        <v>#N/A</v>
      </c>
      <c r="Q54" s="32" t="e">
        <f t="shared" si="8"/>
        <v>#N/A</v>
      </c>
      <c r="R54" s="32" t="e">
        <f>IF(ISNA(VLOOKUP(Q54,equil, 2,0)), INDEX(equil,MATCH(Q54,equil_y,1),1)+(Q54-INDEX(equil,MATCH(Q54,equil_y),2))*(INDEX(equil,MATCH(Q54,equil_y,1)+1,1)-INDEX(equil,MATCH(Q54,equil_y,1),1))/(INDEX(equil,MATCH(Q54,equil_y)+1,2)-INDEX(equil,MATCH(Q54,equil_y),2)), VLOOKUP(Q54,equil_xcurve, 2,0))</f>
        <v>#N/A</v>
      </c>
      <c r="S54" s="32" t="e">
        <f t="shared" si="9"/>
        <v>#N/A</v>
      </c>
      <c r="AMB54"/>
      <c r="AMC54"/>
      <c r="AMD54"/>
      <c r="AME54"/>
      <c r="AMF54"/>
      <c r="AMG54"/>
      <c r="AMH54"/>
      <c r="AMI54"/>
      <c r="AMJ54"/>
    </row>
    <row r="55" spans="5:1024" x14ac:dyDescent="0.25">
      <c r="E55" s="6">
        <v>0.25</v>
      </c>
      <c r="F55" s="4">
        <f t="shared" si="2"/>
        <v>0.33333333333333331</v>
      </c>
      <c r="G55" s="4">
        <f t="shared" si="3"/>
        <v>0.72</v>
      </c>
      <c r="H55" s="4">
        <f t="shared" si="4"/>
        <v>0.69251255346847684</v>
      </c>
      <c r="I55" s="4">
        <f t="shared" si="5"/>
        <v>0.89312813836711924</v>
      </c>
      <c r="J55" s="4" t="e">
        <f t="shared" si="6"/>
        <v>#N/A</v>
      </c>
      <c r="O55" s="32">
        <v>24</v>
      </c>
      <c r="P55" s="32" t="e">
        <f t="shared" si="7"/>
        <v>#N/A</v>
      </c>
      <c r="Q55" s="32" t="e">
        <f t="shared" si="8"/>
        <v>#N/A</v>
      </c>
      <c r="R55" s="32" t="e">
        <f>IF(ISNA(VLOOKUP(Q55,equil, 2,0)), INDEX(equil,MATCH(Q55,equil_y,1),1)+(Q55-INDEX(equil,MATCH(Q55,equil_y),2))*(INDEX(equil,MATCH(Q55,equil_y,1)+1,1)-INDEX(equil,MATCH(Q55,equil_y,1),1))/(INDEX(equil,MATCH(Q55,equil_y)+1,2)-INDEX(equil,MATCH(Q55,equil_y),2)), VLOOKUP(Q55,equil_xcurve, 2,0))</f>
        <v>#N/A</v>
      </c>
      <c r="S55" s="32" t="e">
        <f t="shared" si="9"/>
        <v>#N/A</v>
      </c>
      <c r="AMB55"/>
      <c r="AMC55"/>
      <c r="AMD55"/>
      <c r="AME55"/>
      <c r="AMF55"/>
      <c r="AMG55"/>
      <c r="AMH55"/>
      <c r="AMI55"/>
      <c r="AMJ55"/>
    </row>
    <row r="56" spans="5:1024" x14ac:dyDescent="0.25">
      <c r="E56" s="6">
        <v>0.26</v>
      </c>
      <c r="F56" s="4">
        <f t="shared" si="2"/>
        <v>0.35135135135135137</v>
      </c>
      <c r="G56" s="4">
        <f t="shared" si="3"/>
        <v>0.71040000000000003</v>
      </c>
      <c r="H56" s="4">
        <f t="shared" si="4"/>
        <v>0.69126709615700799</v>
      </c>
      <c r="I56" s="4">
        <f t="shared" si="5"/>
        <v>0.8901294450008217</v>
      </c>
      <c r="J56" s="4" t="e">
        <f t="shared" si="6"/>
        <v>#N/A</v>
      </c>
      <c r="AMB56"/>
      <c r="AMC56"/>
      <c r="AMD56"/>
      <c r="AME56"/>
      <c r="AMF56"/>
      <c r="AMG56"/>
      <c r="AMH56"/>
      <c r="AMI56"/>
      <c r="AMJ56"/>
    </row>
    <row r="57" spans="5:1024" x14ac:dyDescent="0.25">
      <c r="E57" s="6">
        <v>0.27</v>
      </c>
      <c r="F57" s="4">
        <f t="shared" si="2"/>
        <v>0.36986301369863017</v>
      </c>
      <c r="G57" s="4">
        <f t="shared" si="3"/>
        <v>0.70079999999999987</v>
      </c>
      <c r="H57" s="4">
        <f t="shared" si="4"/>
        <v>0.69000998655944246</v>
      </c>
      <c r="I57" s="4">
        <f t="shared" si="5"/>
        <v>0.88710269637104933</v>
      </c>
      <c r="J57" s="4" t="e">
        <f t="shared" si="6"/>
        <v>#N/A</v>
      </c>
      <c r="AMB57"/>
      <c r="AMC57"/>
      <c r="AMD57"/>
      <c r="AME57"/>
      <c r="AMF57"/>
      <c r="AMG57"/>
      <c r="AMH57"/>
      <c r="AMI57"/>
      <c r="AMJ57"/>
    </row>
    <row r="58" spans="5:1024" x14ac:dyDescent="0.25">
      <c r="E58" s="6">
        <v>0.28000000000000003</v>
      </c>
      <c r="F58" s="4">
        <f t="shared" si="2"/>
        <v>0.38888888888888895</v>
      </c>
      <c r="G58" s="4">
        <f t="shared" si="3"/>
        <v>0.69120000000000004</v>
      </c>
      <c r="H58" s="4">
        <f t="shared" si="4"/>
        <v>0.68874106038202731</v>
      </c>
      <c r="I58" s="4">
        <f t="shared" si="5"/>
        <v>0.88404749690696782</v>
      </c>
      <c r="J58" s="4" t="e">
        <f t="shared" si="6"/>
        <v>#N/A</v>
      </c>
      <c r="AMB58"/>
      <c r="AMC58"/>
      <c r="AMD58"/>
      <c r="AME58"/>
      <c r="AMF58"/>
      <c r="AMG58"/>
      <c r="AMH58"/>
      <c r="AMI58"/>
      <c r="AMJ58"/>
    </row>
    <row r="59" spans="5:1024" x14ac:dyDescent="0.25">
      <c r="E59" s="6">
        <v>0.28999999999999998</v>
      </c>
      <c r="F59" s="4">
        <f t="shared" si="2"/>
        <v>0.40845070422535212</v>
      </c>
      <c r="G59" s="4">
        <f t="shared" si="3"/>
        <v>0.68159999999999998</v>
      </c>
      <c r="H59" s="4">
        <f t="shared" si="4"/>
        <v>0.68746015022776708</v>
      </c>
      <c r="I59" s="4">
        <f t="shared" si="5"/>
        <v>0.88096344356605227</v>
      </c>
      <c r="J59" s="4" t="e">
        <f t="shared" si="6"/>
        <v>#N/A</v>
      </c>
      <c r="AMB59"/>
      <c r="AMC59"/>
      <c r="AMD59"/>
      <c r="AME59"/>
      <c r="AMF59"/>
      <c r="AMG59"/>
      <c r="AMH59"/>
      <c r="AMI59"/>
      <c r="AMJ59"/>
    </row>
    <row r="60" spans="5:1024" x14ac:dyDescent="0.25">
      <c r="E60" s="6">
        <v>0.3</v>
      </c>
      <c r="F60" s="4">
        <f t="shared" si="2"/>
        <v>0.4285714285714286</v>
      </c>
      <c r="G60" s="4">
        <f t="shared" si="3"/>
        <v>0.67199999999999993</v>
      </c>
      <c r="H60" s="4">
        <f t="shared" si="4"/>
        <v>0.68616708552280858</v>
      </c>
      <c r="I60" s="4">
        <f t="shared" si="5"/>
        <v>0.87785012565684251</v>
      </c>
      <c r="J60" s="4" t="e">
        <f t="shared" si="6"/>
        <v>#N/A</v>
      </c>
      <c r="AMB60"/>
      <c r="AMC60"/>
      <c r="AMD60"/>
      <c r="AME60"/>
      <c r="AMF60"/>
      <c r="AMG60"/>
      <c r="AMH60"/>
      <c r="AMI60"/>
      <c r="AMJ60"/>
    </row>
    <row r="61" spans="5:1024" x14ac:dyDescent="0.25">
      <c r="E61" s="6">
        <v>0.31</v>
      </c>
      <c r="F61" s="4">
        <f t="shared" si="2"/>
        <v>0.44927536231884063</v>
      </c>
      <c r="G61" s="4">
        <f t="shared" si="3"/>
        <v>0.66239999999999999</v>
      </c>
      <c r="H61" s="4">
        <f t="shared" si="4"/>
        <v>0.68486169244071704</v>
      </c>
      <c r="I61" s="4">
        <f t="shared" si="5"/>
        <v>0.87470712465662204</v>
      </c>
      <c r="J61" s="4" t="e">
        <f t="shared" si="6"/>
        <v>#N/A</v>
      </c>
      <c r="AMB61"/>
      <c r="AMC61"/>
      <c r="AMD61"/>
      <c r="AME61"/>
      <c r="AMF61"/>
      <c r="AMG61"/>
      <c r="AMH61"/>
      <c r="AMI61"/>
      <c r="AMJ61"/>
    </row>
    <row r="62" spans="5:1024" x14ac:dyDescent="0.25">
      <c r="E62" s="6">
        <v>0.32</v>
      </c>
      <c r="F62" s="4">
        <f t="shared" ref="F62:F93" si="10">E62/(1-E62)</f>
        <v>0.4705882352941177</v>
      </c>
      <c r="G62" s="4">
        <f t="shared" ref="G62:G93" si="11">$B$4/(F62+1)</f>
        <v>0.65279999999999994</v>
      </c>
      <c r="H62" s="4">
        <f t="shared" ref="H62:H93" si="12">IF($B$10&lt;&gt;1,(G62-$B$18)/($B$17-E62),$B$3)</f>
        <v>0.68354379382457864</v>
      </c>
      <c r="I62" s="4">
        <f t="shared" ref="I62:I93" si="13">IF($B$10&lt;&gt;1,H62*$B$17+$B$18,$B$3)</f>
        <v>0.87153401402386499</v>
      </c>
      <c r="J62" s="4" t="e">
        <f t="shared" ref="J62:J93" si="14">IF(VLOOKUP(H62,equil,2,1)&gt;I62,I62,NA())</f>
        <v>#N/A</v>
      </c>
      <c r="AMB62"/>
      <c r="AMC62"/>
      <c r="AMD62"/>
      <c r="AME62"/>
      <c r="AMF62"/>
      <c r="AMG62"/>
      <c r="AMH62"/>
      <c r="AMI62"/>
      <c r="AMJ62"/>
    </row>
    <row r="63" spans="5:1024" x14ac:dyDescent="0.25">
      <c r="E63" s="6">
        <v>0.33</v>
      </c>
      <c r="F63" s="4">
        <f t="shared" si="10"/>
        <v>0.49253731343283591</v>
      </c>
      <c r="G63" s="4">
        <f t="shared" si="11"/>
        <v>0.64319999999999988</v>
      </c>
      <c r="H63" s="4">
        <f t="shared" si="12"/>
        <v>0.68221320910685168</v>
      </c>
      <c r="I63" s="4">
        <f t="shared" si="13"/>
        <v>0.8683303590052609</v>
      </c>
      <c r="J63" s="4" t="e">
        <f t="shared" si="14"/>
        <v>#N/A</v>
      </c>
      <c r="AMB63"/>
      <c r="AMC63"/>
      <c r="AMD63"/>
      <c r="AME63"/>
      <c r="AMF63"/>
      <c r="AMG63"/>
      <c r="AMH63"/>
      <c r="AMI63"/>
      <c r="AMJ63"/>
    </row>
    <row r="64" spans="5:1024" x14ac:dyDescent="0.25">
      <c r="E64" s="6">
        <v>0.34</v>
      </c>
      <c r="F64" s="4">
        <f t="shared" si="10"/>
        <v>0.51515151515151525</v>
      </c>
      <c r="G64" s="4">
        <f t="shared" si="11"/>
        <v>0.63359999999999994</v>
      </c>
      <c r="H64" s="4">
        <f t="shared" si="12"/>
        <v>0.68086975422689366</v>
      </c>
      <c r="I64" s="4">
        <f t="shared" si="13"/>
        <v>0.86509571643714356</v>
      </c>
      <c r="J64" s="4" t="e">
        <f t="shared" si="14"/>
        <v>#N/A</v>
      </c>
      <c r="AMB64"/>
      <c r="AMC64"/>
      <c r="AMD64"/>
      <c r="AME64"/>
      <c r="AMF64"/>
      <c r="AMG64"/>
      <c r="AMH64"/>
      <c r="AMI64"/>
      <c r="AMJ64"/>
    </row>
    <row r="65" spans="5:1024" x14ac:dyDescent="0.25">
      <c r="E65" s="6">
        <v>0.35</v>
      </c>
      <c r="F65" s="4">
        <f t="shared" si="10"/>
        <v>0.53846153846153844</v>
      </c>
      <c r="G65" s="4">
        <f t="shared" si="11"/>
        <v>0.624</v>
      </c>
      <c r="H65" s="4">
        <f t="shared" si="12"/>
        <v>0.67951324154608228</v>
      </c>
      <c r="I65" s="4">
        <f t="shared" si="13"/>
        <v>0.86182963454112915</v>
      </c>
      <c r="J65" s="4" t="e">
        <f t="shared" si="14"/>
        <v>#N/A</v>
      </c>
      <c r="AMB65"/>
      <c r="AMC65"/>
      <c r="AMD65"/>
      <c r="AME65"/>
      <c r="AMF65"/>
      <c r="AMG65"/>
      <c r="AMH65"/>
      <c r="AMI65"/>
      <c r="AMJ65"/>
    </row>
    <row r="66" spans="5:1024" x14ac:dyDescent="0.25">
      <c r="E66" s="6">
        <v>0.36</v>
      </c>
      <c r="F66" s="4">
        <f t="shared" si="10"/>
        <v>0.5625</v>
      </c>
      <c r="G66" s="4">
        <f t="shared" si="11"/>
        <v>0.61439999999999995</v>
      </c>
      <c r="H66" s="4">
        <f t="shared" si="12"/>
        <v>0.67814347976044886</v>
      </c>
      <c r="I66" s="4">
        <f t="shared" si="13"/>
        <v>0.8585316527137612</v>
      </c>
      <c r="J66" s="4" t="e">
        <f t="shared" si="14"/>
        <v>#N/A</v>
      </c>
      <c r="AMB66"/>
      <c r="AMC66"/>
      <c r="AMD66"/>
      <c r="AME66"/>
      <c r="AMF66"/>
      <c r="AMG66"/>
      <c r="AMH66"/>
      <c r="AMI66"/>
      <c r="AMJ66"/>
    </row>
    <row r="67" spans="5:1024" x14ac:dyDescent="0.25">
      <c r="E67" s="6">
        <v>0.37</v>
      </c>
      <c r="F67" s="4">
        <f t="shared" si="10"/>
        <v>0.58730158730158732</v>
      </c>
      <c r="G67" s="4">
        <f t="shared" si="11"/>
        <v>0.60479999999999989</v>
      </c>
      <c r="H67" s="4">
        <f t="shared" si="12"/>
        <v>0.67676027381074289</v>
      </c>
      <c r="I67" s="4">
        <f t="shared" si="13"/>
        <v>0.85520130130997485</v>
      </c>
      <c r="J67" s="4" t="e">
        <f t="shared" si="14"/>
        <v>#N/A</v>
      </c>
      <c r="AMB67"/>
      <c r="AMC67"/>
      <c r="AMD67"/>
      <c r="AME67"/>
      <c r="AMF67"/>
      <c r="AMG67"/>
      <c r="AMH67"/>
      <c r="AMI67"/>
      <c r="AMJ67"/>
    </row>
    <row r="68" spans="5:1024" x14ac:dyDescent="0.25">
      <c r="E68" s="6">
        <v>0.38</v>
      </c>
      <c r="F68" s="4">
        <f t="shared" si="10"/>
        <v>0.61290322580645162</v>
      </c>
      <c r="G68" s="4">
        <f t="shared" si="11"/>
        <v>0.59520000000000006</v>
      </c>
      <c r="H68" s="4">
        <f t="shared" si="12"/>
        <v>0.67536342478982958</v>
      </c>
      <c r="I68" s="4">
        <f t="shared" si="13"/>
        <v>0.8518381014201355</v>
      </c>
      <c r="J68" s="4">
        <f t="shared" si="14"/>
        <v>0.8518381014201355</v>
      </c>
      <c r="M68"/>
      <c r="AMB68"/>
      <c r="AMC68"/>
      <c r="AMD68"/>
      <c r="AME68"/>
      <c r="AMF68"/>
      <c r="AMG68"/>
      <c r="AMH68"/>
      <c r="AMI68"/>
      <c r="AMJ68"/>
    </row>
    <row r="69" spans="5:1024" x14ac:dyDescent="0.25">
      <c r="E69" s="6">
        <v>0.39</v>
      </c>
      <c r="F69" s="4">
        <f t="shared" si="10"/>
        <v>0.63934426229508201</v>
      </c>
      <c r="G69" s="4">
        <f t="shared" si="11"/>
        <v>0.58560000000000001</v>
      </c>
      <c r="H69" s="4">
        <f t="shared" si="12"/>
        <v>0.67395272984733856</v>
      </c>
      <c r="I69" s="4">
        <f t="shared" si="13"/>
        <v>0.84844156464046194</v>
      </c>
      <c r="J69" s="4">
        <f t="shared" si="14"/>
        <v>0.84844156464046194</v>
      </c>
      <c r="AMB69"/>
      <c r="AMC69"/>
      <c r="AMD69"/>
      <c r="AME69"/>
      <c r="AMF69"/>
      <c r="AMG69"/>
      <c r="AMH69"/>
      <c r="AMI69"/>
      <c r="AMJ69"/>
    </row>
    <row r="70" spans="5:1024" x14ac:dyDescent="0.25">
      <c r="E70" s="6">
        <v>0.4</v>
      </c>
      <c r="F70" s="4">
        <f t="shared" si="10"/>
        <v>0.66666666666666674</v>
      </c>
      <c r="G70" s="4">
        <f t="shared" si="11"/>
        <v>0.57599999999999996</v>
      </c>
      <c r="H70" s="4">
        <f t="shared" si="12"/>
        <v>0.67252798209146147</v>
      </c>
      <c r="I70" s="4">
        <f t="shared" si="13"/>
        <v>0.84501119283658466</v>
      </c>
      <c r="J70" s="4">
        <f t="shared" si="14"/>
        <v>0.84501119283658466</v>
      </c>
      <c r="AMB70"/>
      <c r="AMC70"/>
      <c r="AMD70"/>
      <c r="AME70"/>
      <c r="AMF70"/>
      <c r="AMG70"/>
      <c r="AMH70"/>
      <c r="AMI70"/>
      <c r="AMJ70"/>
    </row>
    <row r="71" spans="5:1024" x14ac:dyDescent="0.25">
      <c r="E71" s="6">
        <v>0.41</v>
      </c>
      <c r="F71" s="4">
        <f t="shared" si="10"/>
        <v>0.69491525423728795</v>
      </c>
      <c r="G71" s="4">
        <f t="shared" si="11"/>
        <v>0.56640000000000001</v>
      </c>
      <c r="H71" s="4">
        <f t="shared" si="12"/>
        <v>0.67108897048779903</v>
      </c>
      <c r="I71" s="4">
        <f t="shared" si="13"/>
        <v>0.8415464778999977</v>
      </c>
      <c r="J71" s="4">
        <f t="shared" si="14"/>
        <v>0.8415464778999977</v>
      </c>
      <c r="AMB71"/>
      <c r="AMC71"/>
      <c r="AMD71"/>
      <c r="AME71"/>
      <c r="AMF71"/>
      <c r="AMG71"/>
      <c r="AMH71"/>
      <c r="AMI71"/>
      <c r="AMJ71"/>
    </row>
    <row r="72" spans="5:1024" x14ac:dyDescent="0.25">
      <c r="E72" s="6">
        <v>0.42</v>
      </c>
      <c r="F72" s="4">
        <f t="shared" si="10"/>
        <v>0.72413793103448265</v>
      </c>
      <c r="G72" s="4">
        <f t="shared" si="11"/>
        <v>0.55679999999999996</v>
      </c>
      <c r="H72" s="4">
        <f t="shared" si="12"/>
        <v>0.66963547975515603</v>
      </c>
      <c r="I72" s="4">
        <f t="shared" si="13"/>
        <v>0.83804690149716543</v>
      </c>
      <c r="J72" s="4">
        <f t="shared" si="14"/>
        <v>0.83804690149716543</v>
      </c>
      <c r="AMB72"/>
      <c r="AMC72"/>
      <c r="AMD72"/>
      <c r="AME72"/>
      <c r="AMF72"/>
      <c r="AMG72"/>
      <c r="AMH72"/>
      <c r="AMI72"/>
      <c r="AMJ72"/>
    </row>
    <row r="73" spans="5:1024" x14ac:dyDescent="0.25">
      <c r="E73" s="6">
        <v>0.43</v>
      </c>
      <c r="F73" s="4">
        <f t="shared" si="10"/>
        <v>0.7543859649122806</v>
      </c>
      <c r="G73" s="4">
        <f t="shared" si="11"/>
        <v>0.54720000000000002</v>
      </c>
      <c r="H73" s="4">
        <f t="shared" si="12"/>
        <v>0.66816729025817501</v>
      </c>
      <c r="I73" s="4">
        <f t="shared" si="13"/>
        <v>0.83451193481101527</v>
      </c>
      <c r="J73" s="4">
        <f t="shared" si="14"/>
        <v>0.83451193481101527</v>
      </c>
      <c r="AMB73"/>
      <c r="AMC73"/>
      <c r="AMD73"/>
      <c r="AME73"/>
      <c r="AMF73"/>
      <c r="AMG73"/>
      <c r="AMH73"/>
      <c r="AMI73"/>
      <c r="AMJ73"/>
    </row>
    <row r="74" spans="5:1024" x14ac:dyDescent="0.25">
      <c r="E74" s="6">
        <v>0.44</v>
      </c>
      <c r="F74" s="4">
        <f t="shared" si="10"/>
        <v>0.7857142857142857</v>
      </c>
      <c r="G74" s="4">
        <f t="shared" si="11"/>
        <v>0.53759999999999997</v>
      </c>
      <c r="H74" s="4">
        <f t="shared" si="12"/>
        <v>0.66668417789669454</v>
      </c>
      <c r="I74" s="4">
        <f t="shared" si="13"/>
        <v>0.83094103827454546</v>
      </c>
      <c r="J74" s="4">
        <f t="shared" si="14"/>
        <v>0.83094103827454546</v>
      </c>
      <c r="AMB74"/>
      <c r="AMC74"/>
      <c r="AMD74"/>
      <c r="AME74"/>
      <c r="AMF74"/>
      <c r="AMG74"/>
      <c r="AMH74"/>
      <c r="AMI74"/>
      <c r="AMJ74"/>
    </row>
    <row r="75" spans="5:1024" x14ac:dyDescent="0.25">
      <c r="E75" s="6">
        <v>0.45</v>
      </c>
      <c r="F75" s="4">
        <f t="shared" si="10"/>
        <v>0.81818181818181812</v>
      </c>
      <c r="G75" s="4">
        <f t="shared" si="11"/>
        <v>0.52800000000000002</v>
      </c>
      <c r="H75" s="4">
        <f t="shared" si="12"/>
        <v>0.66518591399171889</v>
      </c>
      <c r="I75" s="4">
        <f t="shared" si="13"/>
        <v>0.82733366129627339</v>
      </c>
      <c r="J75" s="4">
        <f t="shared" si="14"/>
        <v>0.82733366129627339</v>
      </c>
      <c r="AMB75"/>
      <c r="AMC75"/>
      <c r="AMD75"/>
      <c r="AME75"/>
      <c r="AMF75"/>
      <c r="AMG75"/>
      <c r="AMH75"/>
      <c r="AMI75"/>
      <c r="AMJ75"/>
    </row>
    <row r="76" spans="5:1024" x14ac:dyDescent="0.25">
      <c r="E76" s="6">
        <v>0.46</v>
      </c>
      <c r="F76" s="4">
        <f t="shared" si="10"/>
        <v>0.85185185185185186</v>
      </c>
      <c r="G76" s="4">
        <f t="shared" si="11"/>
        <v>0.51839999999999997</v>
      </c>
      <c r="H76" s="4">
        <f t="shared" si="12"/>
        <v>0.66367226516787259</v>
      </c>
      <c r="I76" s="4">
        <f t="shared" si="13"/>
        <v>0.82368924197722126</v>
      </c>
      <c r="J76" s="4">
        <f t="shared" si="14"/>
        <v>0.82368924197722126</v>
      </c>
      <c r="AMB76"/>
      <c r="AMC76"/>
      <c r="AMD76"/>
      <c r="AME76"/>
      <c r="AMF76"/>
      <c r="AMG76"/>
      <c r="AMH76"/>
      <c r="AMI76"/>
      <c r="AMJ76"/>
    </row>
    <row r="77" spans="5:1024" x14ac:dyDescent="0.25">
      <c r="E77" s="6">
        <v>0.47</v>
      </c>
      <c r="F77" s="4">
        <f t="shared" si="10"/>
        <v>0.88679245283018859</v>
      </c>
      <c r="G77" s="4">
        <f t="shared" si="11"/>
        <v>0.50879999999999992</v>
      </c>
      <c r="H77" s="4">
        <f t="shared" si="12"/>
        <v>0.66214299323221693</v>
      </c>
      <c r="I77" s="4">
        <f t="shared" si="13"/>
        <v>0.82000720681914196</v>
      </c>
      <c r="J77" s="4">
        <f t="shared" si="14"/>
        <v>0.82000720681914196</v>
      </c>
      <c r="AMB77"/>
      <c r="AMC77"/>
      <c r="AMD77"/>
      <c r="AME77"/>
      <c r="AMF77"/>
      <c r="AMG77"/>
      <c r="AMH77"/>
      <c r="AMI77"/>
      <c r="AMJ77"/>
    </row>
    <row r="78" spans="5:1024" x14ac:dyDescent="0.25">
      <c r="E78" s="6">
        <v>0.48</v>
      </c>
      <c r="F78" s="4">
        <f t="shared" si="10"/>
        <v>0.92307692307692302</v>
      </c>
      <c r="G78" s="4">
        <f t="shared" si="11"/>
        <v>0.49920000000000003</v>
      </c>
      <c r="H78" s="4">
        <f t="shared" si="12"/>
        <v>0.66059785504929391</v>
      </c>
      <c r="I78" s="4">
        <f t="shared" si="13"/>
        <v>0.81628697042366105</v>
      </c>
      <c r="J78" s="4">
        <f t="shared" si="14"/>
        <v>0.81628697042366105</v>
      </c>
      <c r="AMB78"/>
      <c r="AMC78"/>
      <c r="AMD78"/>
      <c r="AME78"/>
      <c r="AMF78"/>
      <c r="AMG78"/>
      <c r="AMH78"/>
      <c r="AMI78"/>
      <c r="AMJ78"/>
    </row>
    <row r="79" spans="5:1024" x14ac:dyDescent="0.25">
      <c r="E79" s="6">
        <v>0.49</v>
      </c>
      <c r="F79" s="4">
        <f t="shared" si="10"/>
        <v>0.96078431372549011</v>
      </c>
      <c r="G79" s="4">
        <f t="shared" si="11"/>
        <v>0.48959999999999998</v>
      </c>
      <c r="H79" s="4">
        <f t="shared" si="12"/>
        <v>0.65903660241226059</v>
      </c>
      <c r="I79" s="4">
        <f t="shared" si="13"/>
        <v>0.81252793518200783</v>
      </c>
      <c r="J79" s="4">
        <f t="shared" si="14"/>
        <v>0.81252793518200783</v>
      </c>
      <c r="AMB79"/>
      <c r="AMC79"/>
      <c r="AMD79"/>
      <c r="AME79"/>
      <c r="AMF79"/>
      <c r="AMG79"/>
      <c r="AMH79"/>
      <c r="AMI79"/>
      <c r="AMJ79"/>
    </row>
    <row r="80" spans="5:1024" x14ac:dyDescent="0.25">
      <c r="E80" s="6">
        <v>0.5</v>
      </c>
      <c r="F80" s="4">
        <f t="shared" si="10"/>
        <v>1</v>
      </c>
      <c r="G80" s="4">
        <f t="shared" si="11"/>
        <v>0.48</v>
      </c>
      <c r="H80" s="4">
        <f t="shared" si="12"/>
        <v>0.65745898190997054</v>
      </c>
      <c r="I80" s="4">
        <f t="shared" si="13"/>
        <v>0.80872949095498514</v>
      </c>
      <c r="J80" s="4">
        <f t="shared" si="14"/>
        <v>0.80872949095498514</v>
      </c>
      <c r="AMB80"/>
      <c r="AMC80"/>
      <c r="AMD80"/>
      <c r="AME80"/>
      <c r="AMF80"/>
      <c r="AMG80"/>
      <c r="AMH80"/>
      <c r="AMI80"/>
      <c r="AMJ80"/>
    </row>
    <row r="81" spans="5:1024" x14ac:dyDescent="0.25">
      <c r="E81" s="6">
        <v>0.51</v>
      </c>
      <c r="F81" s="4">
        <f t="shared" si="10"/>
        <v>1.0408163265306123</v>
      </c>
      <c r="G81" s="4">
        <f t="shared" si="11"/>
        <v>0.47039999999999998</v>
      </c>
      <c r="H81" s="4">
        <f t="shared" si="12"/>
        <v>0.65586473478985341</v>
      </c>
      <c r="I81" s="4">
        <f t="shared" si="13"/>
        <v>0.80489101474282521</v>
      </c>
      <c r="J81" s="4">
        <f t="shared" si="14"/>
        <v>0.80489101474282521</v>
      </c>
      <c r="AMB81"/>
      <c r="AMC81"/>
      <c r="AMD81"/>
      <c r="AME81"/>
      <c r="AMF81"/>
      <c r="AMG81"/>
      <c r="AMH81"/>
      <c r="AMI81"/>
      <c r="AMJ81"/>
    </row>
    <row r="82" spans="5:1024" x14ac:dyDescent="0.25">
      <c r="E82" s="6">
        <v>0.52</v>
      </c>
      <c r="F82" s="4">
        <f t="shared" si="10"/>
        <v>1.0833333333333335</v>
      </c>
      <c r="G82" s="4">
        <f t="shared" si="11"/>
        <v>0.46079999999999993</v>
      </c>
      <c r="H82" s="4">
        <f t="shared" si="12"/>
        <v>0.6542535968164348</v>
      </c>
      <c r="I82" s="4">
        <f t="shared" si="13"/>
        <v>0.80101187034454613</v>
      </c>
      <c r="J82" s="4">
        <f t="shared" si="14"/>
        <v>0.80101187034454613</v>
      </c>
      <c r="AMB82"/>
      <c r="AMC82"/>
      <c r="AMD82"/>
      <c r="AME82"/>
      <c r="AMF82"/>
      <c r="AMG82"/>
      <c r="AMH82"/>
      <c r="AMI82"/>
      <c r="AMJ82"/>
    </row>
    <row r="83" spans="5:1024" x14ac:dyDescent="0.25">
      <c r="E83" s="6">
        <v>0.53</v>
      </c>
      <c r="F83" s="4">
        <f t="shared" si="10"/>
        <v>1.1276595744680853</v>
      </c>
      <c r="G83" s="4">
        <f t="shared" si="11"/>
        <v>0.45119999999999999</v>
      </c>
      <c r="H83" s="4">
        <f t="shared" si="12"/>
        <v>0.65262529812533665</v>
      </c>
      <c r="I83" s="4">
        <f t="shared" si="13"/>
        <v>0.79709140800642841</v>
      </c>
      <c r="J83" s="4">
        <f t="shared" si="14"/>
        <v>0.79709140800642841</v>
      </c>
      <c r="AMB83"/>
      <c r="AMC83"/>
      <c r="AMD83"/>
      <c r="AME83"/>
      <c r="AMF83"/>
      <c r="AMG83"/>
      <c r="AMH83"/>
      <c r="AMI83"/>
      <c r="AMJ83"/>
    </row>
    <row r="84" spans="5:1024" x14ac:dyDescent="0.25">
      <c r="E84" s="6">
        <v>0.54</v>
      </c>
      <c r="F84" s="4">
        <f t="shared" si="10"/>
        <v>1.173913043478261</v>
      </c>
      <c r="G84" s="4">
        <f t="shared" si="11"/>
        <v>0.44159999999999999</v>
      </c>
      <c r="H84" s="4">
        <f t="shared" si="12"/>
        <v>0.65097956307258631</v>
      </c>
      <c r="I84" s="4">
        <f t="shared" si="13"/>
        <v>0.79312896405919653</v>
      </c>
      <c r="J84" s="4">
        <f t="shared" si="14"/>
        <v>0.79312896405919653</v>
      </c>
      <c r="AMB84"/>
      <c r="AMC84"/>
      <c r="AMD84"/>
      <c r="AME84"/>
      <c r="AMF84"/>
      <c r="AMG84"/>
      <c r="AMH84"/>
      <c r="AMI84"/>
      <c r="AMJ84"/>
    </row>
    <row r="85" spans="5:1024" x14ac:dyDescent="0.25">
      <c r="E85" s="6">
        <v>0.55000000000000004</v>
      </c>
      <c r="F85" s="4">
        <f t="shared" si="10"/>
        <v>1.2222222222222225</v>
      </c>
      <c r="G85" s="4">
        <f t="shared" si="11"/>
        <v>0.43199999999999994</v>
      </c>
      <c r="H85" s="4">
        <f t="shared" si="12"/>
        <v>0.64931611007905987</v>
      </c>
      <c r="I85" s="4">
        <f t="shared" si="13"/>
        <v>0.78912386054348271</v>
      </c>
      <c r="J85" s="4">
        <f t="shared" si="14"/>
        <v>0.78912386054348271</v>
      </c>
      <c r="AMB85"/>
      <c r="AMC85"/>
      <c r="AMD85"/>
      <c r="AME85"/>
      <c r="AMF85"/>
      <c r="AMG85"/>
      <c r="AMH85"/>
      <c r="AMI85"/>
      <c r="AMJ85"/>
    </row>
    <row r="86" spans="5:1024" x14ac:dyDescent="0.25">
      <c r="E86" s="6">
        <v>0.56000000000000005</v>
      </c>
      <c r="F86" s="4">
        <f t="shared" si="10"/>
        <v>1.2727272727272729</v>
      </c>
      <c r="G86" s="4">
        <f t="shared" si="11"/>
        <v>0.42239999999999994</v>
      </c>
      <c r="H86" s="4">
        <f t="shared" si="12"/>
        <v>0.64763465146987276</v>
      </c>
      <c r="I86" s="4">
        <f t="shared" si="13"/>
        <v>0.78507540482312854</v>
      </c>
      <c r="J86" s="4">
        <f t="shared" si="14"/>
        <v>0.78507540482312854</v>
      </c>
      <c r="AMB86"/>
      <c r="AMC86"/>
      <c r="AMD86"/>
      <c r="AME86"/>
      <c r="AMF86"/>
      <c r="AMG86"/>
      <c r="AMH86"/>
      <c r="AMI86"/>
      <c r="AMJ86"/>
    </row>
    <row r="87" spans="5:1024" x14ac:dyDescent="0.25">
      <c r="E87" s="6">
        <v>0.56999999999999995</v>
      </c>
      <c r="F87" s="4">
        <f t="shared" si="10"/>
        <v>1.3255813953488369</v>
      </c>
      <c r="G87" s="4">
        <f t="shared" si="11"/>
        <v>0.41280000000000006</v>
      </c>
      <c r="H87" s="4">
        <f t="shared" si="12"/>
        <v>0.64593489330852749</v>
      </c>
      <c r="I87" s="4">
        <f t="shared" si="13"/>
        <v>0.78098288918586078</v>
      </c>
      <c r="J87" s="4">
        <f t="shared" si="14"/>
        <v>0.78098288918586078</v>
      </c>
      <c r="AMB87"/>
      <c r="AMC87"/>
      <c r="AMD87"/>
      <c r="AME87"/>
      <c r="AMF87"/>
      <c r="AMG87"/>
      <c r="AMH87"/>
      <c r="AMI87"/>
      <c r="AMJ87"/>
    </row>
    <row r="88" spans="5:1024" x14ac:dyDescent="0.25">
      <c r="E88" s="6">
        <v>0.57999999999999996</v>
      </c>
      <c r="F88" s="4">
        <f t="shared" si="10"/>
        <v>1.3809523809523807</v>
      </c>
      <c r="G88" s="4">
        <f t="shared" si="11"/>
        <v>0.40320000000000006</v>
      </c>
      <c r="H88" s="4">
        <f t="shared" si="12"/>
        <v>0.64421653522561606</v>
      </c>
      <c r="I88" s="4">
        <f t="shared" si="13"/>
        <v>0.77684559043085732</v>
      </c>
      <c r="J88" s="4">
        <f t="shared" si="14"/>
        <v>0.77684559043085732</v>
      </c>
      <c r="AMB88"/>
      <c r="AMC88"/>
      <c r="AMD88"/>
      <c r="AME88"/>
      <c r="AMF88"/>
      <c r="AMG88"/>
      <c r="AMH88"/>
      <c r="AMI88"/>
      <c r="AMJ88"/>
    </row>
    <row r="89" spans="5:1024" x14ac:dyDescent="0.25">
      <c r="E89" s="6">
        <v>0.59</v>
      </c>
      <c r="F89" s="4">
        <f t="shared" si="10"/>
        <v>1.4390243902439022</v>
      </c>
      <c r="G89" s="4">
        <f t="shared" si="11"/>
        <v>0.39360000000000006</v>
      </c>
      <c r="H89" s="4">
        <f t="shared" si="12"/>
        <v>0.64247927024186935</v>
      </c>
      <c r="I89" s="4">
        <f t="shared" si="13"/>
        <v>0.77266276944270307</v>
      </c>
      <c r="J89" s="4">
        <f t="shared" si="14"/>
        <v>0.77266276944270307</v>
      </c>
      <c r="AMB89"/>
      <c r="AMC89"/>
      <c r="AMD89"/>
      <c r="AME89"/>
      <c r="AMF89"/>
      <c r="AMG89"/>
      <c r="AMH89"/>
      <c r="AMI89"/>
      <c r="AMJ89"/>
    </row>
    <row r="90" spans="5:1024" x14ac:dyDescent="0.25">
      <c r="E90" s="6">
        <v>0.6</v>
      </c>
      <c r="F90" s="4">
        <f t="shared" si="10"/>
        <v>1.4999999999999998</v>
      </c>
      <c r="G90" s="4">
        <f t="shared" si="11"/>
        <v>0.38400000000000001</v>
      </c>
      <c r="H90" s="4">
        <f t="shared" si="12"/>
        <v>0.64072278458533116</v>
      </c>
      <c r="I90" s="4">
        <f t="shared" si="13"/>
        <v>0.76843367075119851</v>
      </c>
      <c r="J90" s="4">
        <f t="shared" si="14"/>
        <v>0.76843367075119851</v>
      </c>
      <c r="AMB90"/>
      <c r="AMC90"/>
      <c r="AMD90"/>
      <c r="AME90"/>
      <c r="AMF90"/>
      <c r="AMG90"/>
      <c r="AMH90"/>
      <c r="AMI90"/>
      <c r="AMJ90"/>
    </row>
    <row r="91" spans="5:1024" x14ac:dyDescent="0.25">
      <c r="E91" s="6">
        <v>0.61</v>
      </c>
      <c r="F91" s="4">
        <f t="shared" si="10"/>
        <v>1.5641025641025641</v>
      </c>
      <c r="G91" s="4">
        <f t="shared" si="11"/>
        <v>0.37440000000000001</v>
      </c>
      <c r="H91" s="4">
        <f t="shared" si="12"/>
        <v>0.63894675750243313</v>
      </c>
      <c r="I91" s="4">
        <f t="shared" si="13"/>
        <v>0.76415752207648424</v>
      </c>
      <c r="J91" s="4">
        <f t="shared" si="14"/>
        <v>0.76415752207648424</v>
      </c>
      <c r="AMB91"/>
      <c r="AMC91"/>
      <c r="AMD91"/>
      <c r="AME91"/>
      <c r="AMF91"/>
      <c r="AMG91"/>
      <c r="AMH91"/>
      <c r="AMI91"/>
      <c r="AMJ91"/>
    </row>
    <row r="92" spans="5:1024" x14ac:dyDescent="0.25">
      <c r="E92" s="6">
        <v>0.62</v>
      </c>
      <c r="F92" s="4">
        <f t="shared" si="10"/>
        <v>1.631578947368421</v>
      </c>
      <c r="G92" s="4">
        <f t="shared" si="11"/>
        <v>0.36479999999999996</v>
      </c>
      <c r="H92" s="4">
        <f t="shared" si="12"/>
        <v>0.63715086106272567</v>
      </c>
      <c r="I92" s="4">
        <f t="shared" si="13"/>
        <v>0.75983353385888996</v>
      </c>
      <c r="J92" s="4">
        <f t="shared" si="14"/>
        <v>0.75983353385888996</v>
      </c>
      <c r="AMB92"/>
      <c r="AMC92"/>
      <c r="AMD92"/>
      <c r="AME92"/>
      <c r="AMF92"/>
      <c r="AMG92"/>
      <c r="AMH92"/>
      <c r="AMI92"/>
      <c r="AMJ92"/>
    </row>
    <row r="93" spans="5:1024" x14ac:dyDescent="0.25">
      <c r="E93" s="6">
        <v>0.63</v>
      </c>
      <c r="F93" s="4">
        <f t="shared" si="10"/>
        <v>1.7027027027027026</v>
      </c>
      <c r="G93" s="4">
        <f t="shared" si="11"/>
        <v>0.35520000000000002</v>
      </c>
      <c r="H93" s="4">
        <f t="shared" si="12"/>
        <v>0.6353347599570206</v>
      </c>
      <c r="I93" s="4">
        <f t="shared" si="13"/>
        <v>0.75546089877292277</v>
      </c>
      <c r="J93" s="4">
        <f t="shared" si="14"/>
        <v>0.75546089877292277</v>
      </c>
      <c r="AMB93"/>
      <c r="AMC93"/>
      <c r="AMD93"/>
      <c r="AME93"/>
      <c r="AMF93"/>
      <c r="AMG93"/>
      <c r="AMH93"/>
      <c r="AMI93"/>
      <c r="AMJ93"/>
    </row>
    <row r="94" spans="5:1024" x14ac:dyDescent="0.25">
      <c r="E94" s="6">
        <v>0.64</v>
      </c>
      <c r="F94" s="4">
        <f t="shared" ref="F94:F125" si="15">E94/(1-E94)</f>
        <v>1.7777777777777779</v>
      </c>
      <c r="G94" s="4">
        <f t="shared" ref="G94:G125" si="16">$B$4/(F94+1)</f>
        <v>0.34560000000000002</v>
      </c>
      <c r="H94" s="4">
        <f t="shared" ref="H94:H125" si="17">IF($B$10&lt;&gt;1,(G94-$B$18)/($B$17-E94),$B$3)</f>
        <v>0.63349811128868239</v>
      </c>
      <c r="I94" s="4">
        <f t="shared" ref="I94:I125" si="18">IF($B$10&lt;&gt;1,H94*$B$17+$B$18,$B$3)</f>
        <v>0.75103879122475692</v>
      </c>
      <c r="J94" s="4">
        <f t="shared" ref="J94:J125" si="19">IF(VLOOKUP(H94,equil,2,1)&gt;I94,I94,NA())</f>
        <v>0.75103879122475692</v>
      </c>
      <c r="AMB94"/>
      <c r="AMC94"/>
      <c r="AMD94"/>
      <c r="AME94"/>
      <c r="AMF94"/>
      <c r="AMG94"/>
      <c r="AMH94"/>
      <c r="AMI94"/>
      <c r="AMJ94"/>
    </row>
    <row r="95" spans="5:1024" x14ac:dyDescent="0.25">
      <c r="E95" s="6">
        <v>0.65</v>
      </c>
      <c r="F95" s="4">
        <f t="shared" si="15"/>
        <v>1.8571428571428574</v>
      </c>
      <c r="G95" s="4">
        <f t="shared" si="16"/>
        <v>0.33599999999999991</v>
      </c>
      <c r="H95" s="4">
        <f t="shared" si="17"/>
        <v>0.63164056435779181</v>
      </c>
      <c r="I95" s="4">
        <f t="shared" si="18"/>
        <v>0.74656636683256461</v>
      </c>
      <c r="J95" s="4">
        <f t="shared" si="19"/>
        <v>0.74656636683256461</v>
      </c>
      <c r="AMB95"/>
      <c r="AMC95"/>
      <c r="AMD95"/>
      <c r="AME95"/>
      <c r="AMF95"/>
      <c r="AMG95"/>
      <c r="AMH95"/>
      <c r="AMI95"/>
      <c r="AMJ95"/>
    </row>
    <row r="96" spans="5:1024" x14ac:dyDescent="0.25">
      <c r="E96" s="6">
        <v>0.66</v>
      </c>
      <c r="F96" s="4">
        <f t="shared" si="15"/>
        <v>1.9411764705882355</v>
      </c>
      <c r="G96" s="4">
        <f t="shared" si="16"/>
        <v>0.32639999999999997</v>
      </c>
      <c r="H96" s="4">
        <f t="shared" si="17"/>
        <v>0.62976176043790533</v>
      </c>
      <c r="I96" s="4">
        <f t="shared" si="18"/>
        <v>0.74204276188901752</v>
      </c>
      <c r="J96" s="4">
        <f t="shared" si="19"/>
        <v>0.74204276188901752</v>
      </c>
      <c r="AMB96"/>
      <c r="AMC96"/>
      <c r="AMD96"/>
      <c r="AME96"/>
      <c r="AMF96"/>
      <c r="AMG96"/>
      <c r="AMH96"/>
      <c r="AMI96"/>
      <c r="AMJ96"/>
    </row>
    <row r="97" spans="5:1024" x14ac:dyDescent="0.25">
      <c r="E97" s="6">
        <v>0.67</v>
      </c>
      <c r="F97" s="4">
        <f t="shared" si="15"/>
        <v>2.0303030303030307</v>
      </c>
      <c r="G97" s="4">
        <f t="shared" si="16"/>
        <v>0.31679999999999997</v>
      </c>
      <c r="H97" s="4">
        <f t="shared" si="17"/>
        <v>0.62786133254510013</v>
      </c>
      <c r="I97" s="4">
        <f t="shared" si="18"/>
        <v>0.73746709280521694</v>
      </c>
      <c r="J97" s="4">
        <f t="shared" si="19"/>
        <v>0.73746709280521694</v>
      </c>
      <c r="AMB97"/>
      <c r="AMC97"/>
      <c r="AMD97"/>
      <c r="AME97"/>
      <c r="AMF97"/>
      <c r="AMG97"/>
      <c r="AMH97"/>
      <c r="AMI97"/>
      <c r="AMJ97"/>
    </row>
    <row r="98" spans="5:1024" x14ac:dyDescent="0.25">
      <c r="E98" s="6">
        <v>0.68</v>
      </c>
      <c r="F98" s="4">
        <f t="shared" si="15"/>
        <v>2.1250000000000004</v>
      </c>
      <c r="G98" s="4">
        <f t="shared" si="16"/>
        <v>0.30719999999999992</v>
      </c>
      <c r="H98" s="4">
        <f t="shared" si="17"/>
        <v>0.62593890519900408</v>
      </c>
      <c r="I98" s="4">
        <f t="shared" si="18"/>
        <v>0.7328384555353229</v>
      </c>
      <c r="J98" s="4">
        <f t="shared" si="19"/>
        <v>0.7328384555353229</v>
      </c>
      <c r="AMB98"/>
      <c r="AMC98"/>
      <c r="AMD98"/>
      <c r="AME98"/>
      <c r="AMF98"/>
      <c r="AMG98"/>
      <c r="AMH98"/>
      <c r="AMI98"/>
      <c r="AMJ98"/>
    </row>
    <row r="99" spans="5:1024" x14ac:dyDescent="0.25">
      <c r="E99" s="6">
        <v>0.69</v>
      </c>
      <c r="F99" s="4">
        <f t="shared" si="15"/>
        <v>2.2258064516129026</v>
      </c>
      <c r="G99" s="4">
        <f t="shared" si="16"/>
        <v>0.29760000000000003</v>
      </c>
      <c r="H99" s="4">
        <f t="shared" si="17"/>
        <v>0.62399409417547402</v>
      </c>
      <c r="I99" s="4">
        <f t="shared" si="18"/>
        <v>0.72815592498107717</v>
      </c>
      <c r="J99" s="4">
        <f t="shared" si="19"/>
        <v>0.72815592498107717</v>
      </c>
      <c r="AMB99"/>
      <c r="AMC99"/>
      <c r="AMD99"/>
      <c r="AME99"/>
      <c r="AMF99"/>
      <c r="AMG99"/>
      <c r="AMH99"/>
      <c r="AMI99"/>
      <c r="AMJ99"/>
    </row>
    <row r="100" spans="5:1024" x14ac:dyDescent="0.25">
      <c r="E100" s="6">
        <v>0.7</v>
      </c>
      <c r="F100" s="4">
        <f t="shared" si="15"/>
        <v>2.333333333333333</v>
      </c>
      <c r="G100" s="4">
        <f t="shared" si="16"/>
        <v>0.28800000000000003</v>
      </c>
      <c r="H100" s="4">
        <f t="shared" si="17"/>
        <v>0.62202650625058753</v>
      </c>
      <c r="I100" s="4">
        <f t="shared" si="18"/>
        <v>0.72341855437541147</v>
      </c>
      <c r="J100" s="4">
        <f t="shared" si="19"/>
        <v>0.72341855437541147</v>
      </c>
      <c r="AMB100"/>
      <c r="AMC100"/>
      <c r="AMD100"/>
      <c r="AME100"/>
      <c r="AMF100"/>
      <c r="AMG100"/>
      <c r="AMH100"/>
      <c r="AMI100"/>
      <c r="AMJ100"/>
    </row>
    <row r="101" spans="5:1024" x14ac:dyDescent="0.25">
      <c r="E101" s="6">
        <v>0.71</v>
      </c>
      <c r="F101" s="4">
        <f t="shared" si="15"/>
        <v>2.4482758620689653</v>
      </c>
      <c r="G101" s="4">
        <f t="shared" si="16"/>
        <v>0.27839999999999998</v>
      </c>
      <c r="H101" s="4">
        <f t="shared" si="17"/>
        <v>0.62003573893558483</v>
      </c>
      <c r="I101" s="4">
        <f t="shared" si="18"/>
        <v>0.71862537464426524</v>
      </c>
      <c r="J101" s="4">
        <f t="shared" si="19"/>
        <v>0.71862537464426524</v>
      </c>
      <c r="AMB101"/>
      <c r="AMC101"/>
      <c r="AMD101"/>
      <c r="AME101"/>
      <c r="AMF101"/>
      <c r="AMG101"/>
      <c r="AMH101"/>
      <c r="AMI101"/>
      <c r="AMJ101"/>
    </row>
    <row r="102" spans="5:1024" x14ac:dyDescent="0.25">
      <c r="E102" s="6">
        <v>0.72</v>
      </c>
      <c r="F102" s="4">
        <f t="shared" si="15"/>
        <v>2.5714285714285712</v>
      </c>
      <c r="G102" s="4">
        <f t="shared" si="16"/>
        <v>0.26879999999999998</v>
      </c>
      <c r="H102" s="4">
        <f t="shared" si="17"/>
        <v>0.61802138020238906</v>
      </c>
      <c r="I102" s="4">
        <f t="shared" si="18"/>
        <v>0.71377539374572008</v>
      </c>
      <c r="J102" s="4">
        <f t="shared" si="19"/>
        <v>0.71377539374572008</v>
      </c>
      <c r="AMB102"/>
      <c r="AMC102"/>
      <c r="AMD102"/>
      <c r="AME102"/>
      <c r="AMF102"/>
      <c r="AMG102"/>
      <c r="AMH102"/>
      <c r="AMI102"/>
      <c r="AMJ102"/>
    </row>
    <row r="103" spans="5:1024" x14ac:dyDescent="0.25">
      <c r="E103" s="6">
        <v>0.73</v>
      </c>
      <c r="F103" s="4">
        <f t="shared" si="15"/>
        <v>2.7037037037037033</v>
      </c>
      <c r="G103" s="4">
        <f t="shared" si="16"/>
        <v>0.25920000000000004</v>
      </c>
      <c r="H103" s="4">
        <f t="shared" si="17"/>
        <v>0.61598300819930929</v>
      </c>
      <c r="I103" s="4">
        <f t="shared" si="18"/>
        <v>0.70886759598549576</v>
      </c>
      <c r="J103" s="4">
        <f t="shared" si="19"/>
        <v>0.70886759598549576</v>
      </c>
      <c r="AMB103"/>
      <c r="AMC103"/>
      <c r="AMD103"/>
      <c r="AME103"/>
      <c r="AMF103"/>
      <c r="AMG103"/>
      <c r="AMH103"/>
      <c r="AMI103"/>
      <c r="AMJ103"/>
    </row>
    <row r="104" spans="5:1024" x14ac:dyDescent="0.25">
      <c r="E104" s="6">
        <v>0.74</v>
      </c>
      <c r="F104" s="4">
        <f t="shared" si="15"/>
        <v>2.8461538461538458</v>
      </c>
      <c r="G104" s="4">
        <f t="shared" si="16"/>
        <v>0.24960000000000002</v>
      </c>
      <c r="H104" s="4">
        <f t="shared" si="17"/>
        <v>0.61392019095651507</v>
      </c>
      <c r="I104" s="4">
        <f t="shared" si="18"/>
        <v>0.70390094130782122</v>
      </c>
      <c r="J104" s="4">
        <f t="shared" si="19"/>
        <v>0.70390094130782122</v>
      </c>
      <c r="AMB104"/>
      <c r="AMC104"/>
      <c r="AMD104"/>
      <c r="AME104"/>
      <c r="AMF104"/>
      <c r="AMG104"/>
      <c r="AMH104"/>
      <c r="AMI104"/>
      <c r="AMJ104"/>
    </row>
    <row r="105" spans="5:1024" x14ac:dyDescent="0.25">
      <c r="E105" s="6">
        <v>0.75</v>
      </c>
      <c r="F105" s="4">
        <f t="shared" si="15"/>
        <v>3</v>
      </c>
      <c r="G105" s="4">
        <f t="shared" si="16"/>
        <v>0.24</v>
      </c>
      <c r="H105" s="4">
        <f t="shared" si="17"/>
        <v>0.61183248608085206</v>
      </c>
      <c r="I105" s="4">
        <f t="shared" si="18"/>
        <v>0.69887436456063901</v>
      </c>
      <c r="J105" s="4">
        <f t="shared" si="19"/>
        <v>0.69887436456063901</v>
      </c>
      <c r="AMB105"/>
      <c r="AMC105"/>
      <c r="AMD105"/>
      <c r="AME105"/>
      <c r="AMF105"/>
      <c r="AMG105"/>
      <c r="AMH105"/>
      <c r="AMI105"/>
      <c r="AMJ105"/>
    </row>
    <row r="106" spans="5:1024" x14ac:dyDescent="0.25">
      <c r="E106" s="6">
        <v>0.76</v>
      </c>
      <c r="F106" s="4">
        <f t="shared" si="15"/>
        <v>3.166666666666667</v>
      </c>
      <c r="G106" s="4">
        <f t="shared" si="16"/>
        <v>0.23039999999999997</v>
      </c>
      <c r="H106" s="4">
        <f t="shared" si="17"/>
        <v>0.60971944043954329</v>
      </c>
      <c r="I106" s="4">
        <f t="shared" si="18"/>
        <v>0.69378677473405292</v>
      </c>
      <c r="J106" s="4">
        <f t="shared" si="19"/>
        <v>0.69378677473405292</v>
      </c>
      <c r="AMB106"/>
      <c r="AMC106"/>
      <c r="AMD106"/>
      <c r="AME106"/>
      <c r="AMF106"/>
      <c r="AMG106"/>
      <c r="AMH106"/>
      <c r="AMI106"/>
      <c r="AMJ106"/>
    </row>
    <row r="107" spans="5:1024" x14ac:dyDescent="0.25">
      <c r="E107" s="6">
        <v>0.77</v>
      </c>
      <c r="F107" s="4">
        <f t="shared" si="15"/>
        <v>3.347826086956522</v>
      </c>
      <c r="G107" s="4">
        <f t="shared" si="16"/>
        <v>0.2208</v>
      </c>
      <c r="H107" s="4">
        <f t="shared" si="17"/>
        <v>0.60758058983230256</v>
      </c>
      <c r="I107" s="4">
        <f t="shared" si="18"/>
        <v>0.68863705417087284</v>
      </c>
      <c r="J107" s="4">
        <f t="shared" si="19"/>
        <v>0.68863705417087284</v>
      </c>
      <c r="AMB107"/>
      <c r="AMC107"/>
      <c r="AMD107"/>
      <c r="AME107"/>
      <c r="AMF107"/>
      <c r="AMG107"/>
      <c r="AMH107"/>
      <c r="AMI107"/>
      <c r="AMJ107"/>
    </row>
    <row r="108" spans="5:1024" x14ac:dyDescent="0.25">
      <c r="E108" s="6">
        <v>0.78</v>
      </c>
      <c r="F108" s="4">
        <f t="shared" si="15"/>
        <v>3.5454545454545459</v>
      </c>
      <c r="G108" s="4">
        <f t="shared" si="16"/>
        <v>0.21119999999999997</v>
      </c>
      <c r="H108" s="4">
        <f t="shared" si="17"/>
        <v>0.60541545865136182</v>
      </c>
      <c r="I108" s="4">
        <f t="shared" si="18"/>
        <v>0.68342405774806214</v>
      </c>
      <c r="J108" s="4">
        <f t="shared" si="19"/>
        <v>0.68342405774806214</v>
      </c>
      <c r="AMB108"/>
      <c r="AMC108"/>
      <c r="AMD108"/>
      <c r="AME108"/>
      <c r="AMF108"/>
      <c r="AMG108"/>
      <c r="AMH108"/>
      <c r="AMI108"/>
      <c r="AMJ108"/>
    </row>
    <row r="109" spans="5:1024" x14ac:dyDescent="0.25">
      <c r="E109" s="6">
        <v>0.79</v>
      </c>
      <c r="F109" s="4">
        <f t="shared" si="15"/>
        <v>3.7619047619047628</v>
      </c>
      <c r="G109" s="4">
        <f t="shared" si="16"/>
        <v>0.20159999999999995</v>
      </c>
      <c r="H109" s="4">
        <f t="shared" si="17"/>
        <v>0.60322355952888884</v>
      </c>
      <c r="I109" s="4">
        <f t="shared" si="18"/>
        <v>0.67814661202782212</v>
      </c>
      <c r="J109" s="4">
        <f t="shared" si="19"/>
        <v>0.67814661202782212</v>
      </c>
      <c r="AMB109"/>
      <c r="AMC109"/>
      <c r="AMD109"/>
      <c r="AME109"/>
      <c r="AMF109"/>
      <c r="AMG109"/>
      <c r="AMH109"/>
      <c r="AMI109"/>
      <c r="AMJ109"/>
    </row>
    <row r="110" spans="5:1024" x14ac:dyDescent="0.25">
      <c r="E110" s="6">
        <v>0.8</v>
      </c>
      <c r="F110" s="4">
        <f t="shared" si="15"/>
        <v>4.0000000000000009</v>
      </c>
      <c r="G110" s="4">
        <f t="shared" si="16"/>
        <v>0.19199999999999995</v>
      </c>
      <c r="H110" s="4">
        <f t="shared" si="17"/>
        <v>0.60100439297124597</v>
      </c>
      <c r="I110" s="4">
        <f t="shared" si="18"/>
        <v>0.67280351437699659</v>
      </c>
      <c r="J110" s="4">
        <f t="shared" si="19"/>
        <v>0.67280351437699659</v>
      </c>
      <c r="AMB110"/>
      <c r="AMC110"/>
      <c r="AMD110"/>
      <c r="AME110"/>
      <c r="AMF110"/>
      <c r="AMG110"/>
      <c r="AMH110"/>
      <c r="AMI110"/>
      <c r="AMJ110"/>
    </row>
    <row r="111" spans="5:1024" x14ac:dyDescent="0.25">
      <c r="E111" s="6">
        <v>0.81</v>
      </c>
      <c r="F111" s="4">
        <f t="shared" si="15"/>
        <v>4.2631578947368434</v>
      </c>
      <c r="G111" s="4">
        <f t="shared" si="16"/>
        <v>0.18239999999999995</v>
      </c>
      <c r="H111" s="4">
        <f t="shared" si="17"/>
        <v>0.59875744697951516</v>
      </c>
      <c r="I111" s="4">
        <f t="shared" si="18"/>
        <v>0.66739353205340723</v>
      </c>
      <c r="J111" s="4">
        <f t="shared" si="19"/>
        <v>0.66739353205340723</v>
      </c>
      <c r="AMB111"/>
      <c r="AMC111"/>
      <c r="AMD111"/>
      <c r="AME111"/>
      <c r="AMF111"/>
      <c r="AMG111"/>
      <c r="AMH111"/>
      <c r="AMI111"/>
      <c r="AMJ111"/>
    </row>
    <row r="112" spans="5:1024" x14ac:dyDescent="0.25">
      <c r="E112" s="6">
        <v>0.82</v>
      </c>
      <c r="F112" s="4">
        <f t="shared" si="15"/>
        <v>4.5555555555555545</v>
      </c>
      <c r="G112" s="4">
        <f t="shared" si="16"/>
        <v>0.17280000000000004</v>
      </c>
      <c r="H112" s="4">
        <f t="shared" si="17"/>
        <v>0.5964821966556807</v>
      </c>
      <c r="I112" s="4">
        <f t="shared" si="18"/>
        <v>0.66191540125765824</v>
      </c>
      <c r="J112" s="4">
        <f t="shared" si="19"/>
        <v>0.66191540125765824</v>
      </c>
      <c r="AMB112"/>
      <c r="AMC112"/>
      <c r="AMD112"/>
      <c r="AME112"/>
      <c r="AMF112"/>
      <c r="AMG112"/>
      <c r="AMH112"/>
      <c r="AMI112"/>
      <c r="AMJ112"/>
    </row>
    <row r="113" spans="5:1024" x14ac:dyDescent="0.25">
      <c r="E113" s="6">
        <v>0.83</v>
      </c>
      <c r="F113" s="4">
        <f t="shared" si="15"/>
        <v>4.8823529411764692</v>
      </c>
      <c r="G113" s="4">
        <f t="shared" si="16"/>
        <v>0.16320000000000004</v>
      </c>
      <c r="H113" s="4">
        <f t="shared" si="17"/>
        <v>0.59417810379383673</v>
      </c>
      <c r="I113" s="4">
        <f t="shared" si="18"/>
        <v>0.65636782614888456</v>
      </c>
      <c r="J113" s="4">
        <f t="shared" si="19"/>
        <v>0.65636782614888456</v>
      </c>
      <c r="AMB113"/>
      <c r="AMC113"/>
      <c r="AMD113"/>
      <c r="AME113"/>
      <c r="AMF113"/>
      <c r="AMG113"/>
      <c r="AMH113"/>
      <c r="AMI113"/>
      <c r="AMJ113"/>
    </row>
    <row r="114" spans="5:1024" x14ac:dyDescent="0.25">
      <c r="E114" s="6">
        <v>0.84</v>
      </c>
      <c r="F114" s="4">
        <f t="shared" si="15"/>
        <v>5.2499999999999991</v>
      </c>
      <c r="G114" s="4">
        <f t="shared" si="16"/>
        <v>0.15360000000000001</v>
      </c>
      <c r="H114" s="4">
        <f t="shared" si="17"/>
        <v>0.59184461645574793</v>
      </c>
      <c r="I114" s="4">
        <f t="shared" si="18"/>
        <v>0.65074947782282799</v>
      </c>
      <c r="J114" s="4">
        <f t="shared" si="19"/>
        <v>0.65074947782282799</v>
      </c>
      <c r="AMB114"/>
      <c r="AMC114"/>
      <c r="AMD114"/>
      <c r="AME114"/>
      <c r="AMF114"/>
      <c r="AMG114"/>
      <c r="AMH114"/>
      <c r="AMI114"/>
      <c r="AMJ114"/>
    </row>
    <row r="115" spans="5:1024" x14ac:dyDescent="0.25">
      <c r="E115" s="6">
        <v>0.85</v>
      </c>
      <c r="F115" s="4">
        <f t="shared" si="15"/>
        <v>5.6666666666666661</v>
      </c>
      <c r="G115" s="4">
        <f t="shared" si="16"/>
        <v>0.14400000000000002</v>
      </c>
      <c r="H115" s="4">
        <f t="shared" si="17"/>
        <v>0.58948116853006349</v>
      </c>
      <c r="I115" s="4">
        <f t="shared" si="18"/>
        <v>0.64505899325055416</v>
      </c>
      <c r="J115" s="4">
        <f t="shared" si="19"/>
        <v>0.64505899325055416</v>
      </c>
      <c r="AMB115"/>
      <c r="AMC115"/>
      <c r="AMD115"/>
      <c r="AME115"/>
      <c r="AMF115"/>
      <c r="AMG115"/>
      <c r="AMH115"/>
      <c r="AMI115"/>
      <c r="AMJ115"/>
    </row>
    <row r="116" spans="5:1024" x14ac:dyDescent="0.25">
      <c r="E116" s="6">
        <v>0.86</v>
      </c>
      <c r="F116" s="4">
        <f t="shared" si="15"/>
        <v>6.1428571428571423</v>
      </c>
      <c r="G116" s="4">
        <f t="shared" si="16"/>
        <v>0.13439999999999999</v>
      </c>
      <c r="H116" s="4">
        <f t="shared" si="17"/>
        <v>0.58708717927443943</v>
      </c>
      <c r="I116" s="4">
        <f t="shared" si="18"/>
        <v>0.63929497417601788</v>
      </c>
      <c r="J116" s="4">
        <f t="shared" si="19"/>
        <v>0.63929497417601788</v>
      </c>
      <c r="AMB116"/>
      <c r="AMC116"/>
      <c r="AMD116"/>
      <c r="AME116"/>
      <c r="AMF116"/>
      <c r="AMG116"/>
      <c r="AMH116"/>
      <c r="AMI116"/>
      <c r="AMJ116"/>
    </row>
    <row r="117" spans="5:1024" x14ac:dyDescent="0.25">
      <c r="E117" s="6">
        <v>0.87</v>
      </c>
      <c r="F117" s="4">
        <f t="shared" si="15"/>
        <v>6.6923076923076916</v>
      </c>
      <c r="G117" s="4">
        <f t="shared" si="16"/>
        <v>0.12480000000000001</v>
      </c>
      <c r="H117" s="4">
        <f t="shared" si="17"/>
        <v>0.58466205283980011</v>
      </c>
      <c r="I117" s="4">
        <f t="shared" si="18"/>
        <v>0.63345598597062613</v>
      </c>
      <c r="J117" s="4">
        <f t="shared" si="19"/>
        <v>0.63345598597062613</v>
      </c>
      <c r="AMB117"/>
      <c r="AMC117"/>
      <c r="AMD117"/>
      <c r="AME117"/>
      <c r="AMF117"/>
      <c r="AMG117"/>
      <c r="AMH117"/>
      <c r="AMI117"/>
      <c r="AMJ117"/>
    </row>
    <row r="118" spans="5:1024" x14ac:dyDescent="0.25">
      <c r="E118" s="6">
        <v>0.88</v>
      </c>
      <c r="F118" s="4">
        <f t="shared" si="15"/>
        <v>7.3333333333333339</v>
      </c>
      <c r="G118" s="4">
        <f t="shared" si="16"/>
        <v>0.11519999999999998</v>
      </c>
      <c r="H118" s="4">
        <f t="shared" si="17"/>
        <v>0.58220517777590985</v>
      </c>
      <c r="I118" s="4">
        <f t="shared" si="18"/>
        <v>0.62754055644280049</v>
      </c>
      <c r="J118" s="4">
        <f t="shared" si="19"/>
        <v>0.62754055644280049</v>
      </c>
      <c r="AMB118"/>
      <c r="AMC118"/>
      <c r="AMD118"/>
      <c r="AME118"/>
      <c r="AMF118"/>
      <c r="AMG118"/>
      <c r="AMH118"/>
      <c r="AMI118"/>
      <c r="AMJ118"/>
    </row>
    <row r="119" spans="5:1024" x14ac:dyDescent="0.25">
      <c r="E119" s="6">
        <v>0.89</v>
      </c>
      <c r="F119" s="4">
        <f t="shared" si="15"/>
        <v>8.0909090909090917</v>
      </c>
      <c r="G119" s="4">
        <f t="shared" si="16"/>
        <v>0.10559999999999999</v>
      </c>
      <c r="H119" s="4">
        <f t="shared" si="17"/>
        <v>0.579715926517403</v>
      </c>
      <c r="I119" s="4">
        <f t="shared" si="18"/>
        <v>0.62154717460048881</v>
      </c>
      <c r="J119" s="4">
        <f t="shared" si="19"/>
        <v>0.62154717460048881</v>
      </c>
      <c r="AMB119"/>
      <c r="AMC119"/>
      <c r="AMD119"/>
      <c r="AME119"/>
      <c r="AMF119"/>
      <c r="AMG119"/>
      <c r="AMH119"/>
      <c r="AMI119"/>
      <c r="AMJ119"/>
    </row>
    <row r="120" spans="5:1024" x14ac:dyDescent="0.25">
      <c r="E120" s="6">
        <v>0.9</v>
      </c>
      <c r="F120" s="4">
        <f t="shared" si="15"/>
        <v>9.0000000000000018</v>
      </c>
      <c r="G120" s="4">
        <f t="shared" si="16"/>
        <v>9.5999999999999974E-2</v>
      </c>
      <c r="H120" s="4">
        <f t="shared" si="17"/>
        <v>0.57719365484935592</v>
      </c>
      <c r="I120" s="4">
        <f t="shared" si="18"/>
        <v>0.61547428936442028</v>
      </c>
      <c r="J120" s="4">
        <f t="shared" si="19"/>
        <v>0.61547428936442028</v>
      </c>
      <c r="AMB120"/>
      <c r="AMC120"/>
      <c r="AMD120"/>
      <c r="AME120"/>
      <c r="AMF120"/>
      <c r="AMG120"/>
      <c r="AMH120"/>
      <c r="AMI120"/>
      <c r="AMJ120"/>
    </row>
    <row r="121" spans="5:1024" x14ac:dyDescent="0.25">
      <c r="E121" s="6">
        <v>0.91</v>
      </c>
      <c r="F121" s="4">
        <f t="shared" si="15"/>
        <v>10.111111111111114</v>
      </c>
      <c r="G121" s="4">
        <f t="shared" si="16"/>
        <v>8.6399999999999977E-2</v>
      </c>
      <c r="H121" s="4">
        <f t="shared" si="17"/>
        <v>0.57463770135145287</v>
      </c>
      <c r="I121" s="4">
        <f t="shared" si="18"/>
        <v>0.60932030822982219</v>
      </c>
      <c r="J121" s="4">
        <f t="shared" si="19"/>
        <v>0.60932030822982219</v>
      </c>
      <c r="AMB121"/>
      <c r="AMC121"/>
      <c r="AMD121"/>
      <c r="AME121"/>
      <c r="AMF121"/>
      <c r="AMG121"/>
      <c r="AMH121"/>
      <c r="AMI121"/>
      <c r="AMJ121"/>
    </row>
    <row r="122" spans="5:1024" x14ac:dyDescent="0.25">
      <c r="E122" s="6">
        <v>0.92</v>
      </c>
      <c r="F122" s="4">
        <f t="shared" si="15"/>
        <v>11.500000000000007</v>
      </c>
      <c r="G122" s="4">
        <f t="shared" si="16"/>
        <v>7.6799999999999952E-2</v>
      </c>
      <c r="H122" s="4">
        <f t="shared" si="17"/>
        <v>0.57204738681973155</v>
      </c>
      <c r="I122" s="4">
        <f t="shared" si="18"/>
        <v>0.60308359587415294</v>
      </c>
      <c r="J122" s="4">
        <f t="shared" si="19"/>
        <v>0.60308359587415294</v>
      </c>
      <c r="AMB122"/>
      <c r="AMC122"/>
      <c r="AMD122"/>
      <c r="AME122"/>
      <c r="AMF122"/>
      <c r="AMG122"/>
      <c r="AMH122"/>
      <c r="AMI122"/>
      <c r="AMJ122"/>
    </row>
    <row r="123" spans="5:1024" x14ac:dyDescent="0.25">
      <c r="E123" s="6">
        <v>0.93</v>
      </c>
      <c r="F123" s="4">
        <f t="shared" si="15"/>
        <v>13.285714285714295</v>
      </c>
      <c r="G123" s="4">
        <f t="shared" si="16"/>
        <v>6.7199999999999954E-2</v>
      </c>
      <c r="H123" s="4">
        <f t="shared" si="17"/>
        <v>0.56942201366485268</v>
      </c>
      <c r="I123" s="4">
        <f t="shared" si="18"/>
        <v>0.59676247270831295</v>
      </c>
      <c r="J123" s="4">
        <f t="shared" si="19"/>
        <v>0.59676247270831295</v>
      </c>
      <c r="AMB123"/>
      <c r="AMC123"/>
      <c r="AMD123"/>
      <c r="AME123"/>
      <c r="AMF123"/>
      <c r="AMG123"/>
      <c r="AMH123"/>
      <c r="AMI123"/>
      <c r="AMJ123"/>
    </row>
    <row r="124" spans="5:1024" x14ac:dyDescent="0.25">
      <c r="E124" s="6">
        <v>0.94</v>
      </c>
      <c r="F124" s="4">
        <f t="shared" si="15"/>
        <v>15.666666666666652</v>
      </c>
      <c r="G124" s="4">
        <f t="shared" si="16"/>
        <v>5.7600000000000054E-2</v>
      </c>
      <c r="H124" s="4">
        <f t="shared" si="17"/>
        <v>0.56676086528576752</v>
      </c>
      <c r="I124" s="4">
        <f t="shared" si="18"/>
        <v>0.59035521336862162</v>
      </c>
      <c r="J124" s="4">
        <f t="shared" si="19"/>
        <v>0.59035521336862162</v>
      </c>
      <c r="AMB124"/>
      <c r="AMC124"/>
      <c r="AMD124"/>
      <c r="AME124"/>
      <c r="AMF124"/>
      <c r="AMG124"/>
      <c r="AMH124"/>
      <c r="AMI124"/>
      <c r="AMJ124"/>
    </row>
    <row r="125" spans="5:1024" x14ac:dyDescent="0.25">
      <c r="E125" s="6">
        <v>0.95</v>
      </c>
      <c r="F125" s="4">
        <f t="shared" si="15"/>
        <v>18.999999999999982</v>
      </c>
      <c r="G125" s="4">
        <f t="shared" si="16"/>
        <v>4.8000000000000043E-2</v>
      </c>
      <c r="H125" s="4">
        <f t="shared" si="17"/>
        <v>0.56406320541760724</v>
      </c>
      <c r="I125" s="4">
        <f t="shared" si="18"/>
        <v>0.58386004514672685</v>
      </c>
      <c r="J125" s="4">
        <f t="shared" si="19"/>
        <v>0.58386004514672685</v>
      </c>
      <c r="AMB125"/>
      <c r="AMC125"/>
      <c r="AMD125"/>
      <c r="AME125"/>
      <c r="AMF125"/>
      <c r="AMG125"/>
      <c r="AMH125"/>
      <c r="AMI125"/>
      <c r="AMJ125"/>
    </row>
    <row r="126" spans="5:1024" x14ac:dyDescent="0.25">
      <c r="E126" s="6">
        <v>0.96</v>
      </c>
      <c r="F126" s="4">
        <f t="shared" ref="F126:F157" si="20">E126/(1-E126)</f>
        <v>23.999999999999979</v>
      </c>
      <c r="G126" s="4">
        <f t="shared" ref="G126:G157" si="21">$B$4/(F126+1)</f>
        <v>3.8400000000000031E-2</v>
      </c>
      <c r="H126" s="4">
        <f t="shared" ref="H126:H157" si="22">IF($B$10&lt;&gt;1,(G126-$B$18)/($B$17-E126),$B$3)</f>
        <v>0.56132827745254565</v>
      </c>
      <c r="I126" s="4">
        <f t="shared" ref="I126:I157" si="23">IF($B$10&lt;&gt;1,H126*$B$17+$B$18,$B$3)</f>
        <v>0.57727514635444366</v>
      </c>
      <c r="J126" s="4">
        <f t="shared" ref="J126:J157" si="24">IF(VLOOKUP(H126,equil,2,1)&gt;I126,I126,NA())</f>
        <v>0.57727514635444366</v>
      </c>
      <c r="AMB126"/>
      <c r="AMC126"/>
      <c r="AMD126"/>
      <c r="AME126"/>
      <c r="AMF126"/>
      <c r="AMG126"/>
      <c r="AMH126"/>
      <c r="AMI126"/>
      <c r="AMJ126"/>
    </row>
    <row r="127" spans="5:1024" x14ac:dyDescent="0.25">
      <c r="E127" s="6">
        <v>0.97</v>
      </c>
      <c r="F127" s="4">
        <f t="shared" si="20"/>
        <v>32.333333333333307</v>
      </c>
      <c r="G127" s="4">
        <f t="shared" si="21"/>
        <v>2.880000000000002E-2</v>
      </c>
      <c r="H127" s="4">
        <f t="shared" si="22"/>
        <v>0.5585553037323181</v>
      </c>
      <c r="I127" s="4">
        <f t="shared" si="23"/>
        <v>0.57059864462034859</v>
      </c>
      <c r="J127" s="4">
        <f t="shared" si="24"/>
        <v>0.57059864462034859</v>
      </c>
      <c r="AMB127"/>
      <c r="AMC127"/>
      <c r="AMD127"/>
      <c r="AME127"/>
      <c r="AMF127"/>
      <c r="AMG127"/>
      <c r="AMH127"/>
      <c r="AMI127"/>
      <c r="AMJ127"/>
    </row>
    <row r="128" spans="5:1024" x14ac:dyDescent="0.25">
      <c r="E128" s="6">
        <v>0.98</v>
      </c>
      <c r="F128" s="4">
        <f t="shared" si="20"/>
        <v>48.999999999999957</v>
      </c>
      <c r="G128" s="4">
        <f t="shared" si="21"/>
        <v>1.9200000000000016E-2</v>
      </c>
      <c r="H128" s="4">
        <f t="shared" si="22"/>
        <v>0.55574348481100899</v>
      </c>
      <c r="I128" s="4">
        <f t="shared" si="23"/>
        <v>0.56382861511478888</v>
      </c>
      <c r="J128" s="4">
        <f t="shared" si="24"/>
        <v>0.56382861511478888</v>
      </c>
      <c r="AMB128"/>
      <c r="AMC128"/>
      <c r="AMD128"/>
      <c r="AME128"/>
      <c r="AMF128"/>
      <c r="AMG128"/>
      <c r="AMH128"/>
      <c r="AMI128"/>
      <c r="AMJ128"/>
    </row>
    <row r="129" spans="5:1024" x14ac:dyDescent="0.25">
      <c r="E129" s="6">
        <v>0.99</v>
      </c>
      <c r="F129" s="4">
        <f t="shared" si="20"/>
        <v>98.999999999999915</v>
      </c>
      <c r="G129" s="4">
        <f t="shared" si="21"/>
        <v>9.6000000000000078E-3</v>
      </c>
      <c r="H129" s="4">
        <f t="shared" si="22"/>
        <v>0.55289199868663885</v>
      </c>
      <c r="I129" s="4">
        <f t="shared" si="23"/>
        <v>0.55696307869977257</v>
      </c>
      <c r="J129" s="4">
        <f t="shared" si="24"/>
        <v>0.55696307869977257</v>
      </c>
      <c r="AMB129"/>
      <c r="AMC129"/>
      <c r="AMD129"/>
      <c r="AME129"/>
      <c r="AMF129"/>
      <c r="AMG129"/>
      <c r="AMH129"/>
      <c r="AMI129"/>
      <c r="AMJ129"/>
    </row>
  </sheetData>
  <mergeCells count="7">
    <mergeCell ref="E17:F17"/>
    <mergeCell ref="E24:F24"/>
    <mergeCell ref="K1:L1"/>
    <mergeCell ref="M1:N1"/>
    <mergeCell ref="O1:P1"/>
    <mergeCell ref="Q1:R1"/>
    <mergeCell ref="S1:T1"/>
  </mergeCells>
  <dataValidations count="3">
    <dataValidation type="decimal" operator="greaterThanOrEqual" allowBlank="1" showErrorMessage="1" sqref="B4">
      <formula1>0.96</formula1>
      <formula2>0</formula2>
    </dataValidation>
    <dataValidation type="decimal" operator="lessThanOrEqual" allowBlank="1" showErrorMessage="1" sqref="B5">
      <formula1>0.02</formula1>
      <formula2>0</formula2>
    </dataValidation>
    <dataValidation type="list" operator="equal" allowBlank="1" showErrorMessage="1" sqref="B8:B9">
      <formula1>"Liquid,Mixed,Vapor"</formula1>
      <formula2>0</formula2>
    </dataValidation>
  </dataValidations>
  <pageMargins left="0.78749999999999998" right="0.78749999999999998" top="1.0249999999999999" bottom="1.0249999999999999" header="0.78749999999999998" footer="0.78749999999999998"/>
  <pageSetup firstPageNumber="0" orientation="portrait" horizontalDpi="300" verticalDpi="30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Sheet2</vt:lpstr>
      <vt:lpstr>Sheet2!equil</vt:lpstr>
      <vt:lpstr>Sheet2!equil_curve</vt:lpstr>
      <vt:lpstr>equil_x</vt:lpstr>
      <vt:lpstr>equil_y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Captain102</dc:creator>
  <dc:description/>
  <cp:lastModifiedBy>Windows User</cp:lastModifiedBy>
  <cp:revision>7</cp:revision>
  <dcterms:created xsi:type="dcterms:W3CDTF">2021-02-27T04:45:59Z</dcterms:created>
  <dcterms:modified xsi:type="dcterms:W3CDTF">2021-02-28T13:54:26Z</dcterms:modified>
  <dc:language>en-US</dc:language>
</cp:coreProperties>
</file>